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mc:AlternateContent xmlns:mc="http://schemas.openxmlformats.org/markup-compatibility/2006">
    <mc:Choice Requires="x15">
      <x15ac:absPath xmlns:x15ac="http://schemas.microsoft.com/office/spreadsheetml/2010/11/ac" url="C:\_LRC\2. technical assistance\British RC SAHEL program\2. MAURITANIE clubs des meres\4. plan affaires\"/>
    </mc:Choice>
  </mc:AlternateContent>
  <xr:revisionPtr revIDLastSave="0" documentId="8_{8FFD7E94-54B1-43DC-A1CF-F2A5064A4F82}" xr6:coauthVersionLast="36" xr6:coauthVersionMax="36" xr10:uidLastSave="{00000000-0000-0000-0000-000000000000}"/>
  <bookViews>
    <workbookView xWindow="0" yWindow="465" windowWidth="28800" windowHeight="17460" xr2:uid="{00000000-000D-0000-FFFF-FFFF00000000}"/>
  </bookViews>
  <sheets>
    <sheet name="Info general" sheetId="17" r:id="rId1"/>
    <sheet name="Plan economique (PAS)" sheetId="18" r:id="rId2"/>
    <sheet name="Apport CRM" sheetId="21" r:id="rId3"/>
  </sheets>
  <definedNames>
    <definedName name="_xlnm.Print_Area" localSheetId="2">'Apport CRM'!$A$1:$F$68</definedName>
    <definedName name="_xlnm.Print_Area" localSheetId="0">'Info general'!$A$1:$H$22</definedName>
    <definedName name="_xlnm.Print_Area" localSheetId="1">'Plan economique (PAS)'!$A$1:$M$91</definedName>
  </definedNames>
  <calcPr calcId="191029" concurrentCalc="0"/>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M96" i="18" l="1"/>
  <c r="L96" i="18"/>
  <c r="M98" i="18"/>
  <c r="L98" i="18"/>
  <c r="K98" i="18"/>
  <c r="M97" i="18"/>
  <c r="L97" i="18"/>
  <c r="K96" i="18"/>
  <c r="K97" i="18"/>
  <c r="M95" i="18"/>
  <c r="L95" i="18"/>
  <c r="L94" i="18"/>
  <c r="K94" i="18"/>
  <c r="H97" i="18"/>
  <c r="H96" i="18"/>
  <c r="M99" i="18"/>
  <c r="L99" i="18"/>
  <c r="K99" i="18"/>
  <c r="H98" i="18"/>
  <c r="H99" i="18"/>
  <c r="E77" i="18"/>
  <c r="E76" i="18"/>
  <c r="G76" i="18"/>
  <c r="L76" i="18"/>
  <c r="M76" i="18"/>
  <c r="G77" i="18"/>
  <c r="L77" i="18"/>
  <c r="M77" i="18"/>
  <c r="M83" i="18"/>
  <c r="L83" i="18"/>
  <c r="K83" i="18"/>
  <c r="K47" i="18"/>
  <c r="H47" i="18"/>
  <c r="C45" i="18"/>
  <c r="G45" i="18"/>
  <c r="L45" i="18"/>
  <c r="M45" i="18"/>
  <c r="G81" i="18"/>
  <c r="L81" i="18"/>
  <c r="M81" i="18"/>
  <c r="G80" i="18"/>
  <c r="L80" i="18"/>
  <c r="M80" i="18"/>
  <c r="G79" i="18"/>
  <c r="L79" i="18"/>
  <c r="M79" i="18"/>
  <c r="G78" i="18"/>
  <c r="L78" i="18"/>
  <c r="M78" i="18"/>
  <c r="G56" i="18"/>
  <c r="G58" i="18"/>
  <c r="G59" i="18"/>
  <c r="G60" i="18"/>
  <c r="G61" i="18"/>
  <c r="G63" i="18"/>
  <c r="G67" i="18"/>
  <c r="G26" i="18"/>
  <c r="G27" i="18"/>
  <c r="G31" i="18"/>
  <c r="H56" i="18"/>
  <c r="H58" i="18"/>
  <c r="H59" i="18"/>
  <c r="H60" i="18"/>
  <c r="H61" i="18"/>
  <c r="H63" i="18"/>
  <c r="H67" i="18"/>
  <c r="C68" i="18"/>
  <c r="G68" i="18"/>
  <c r="H68" i="18"/>
  <c r="C69" i="18"/>
  <c r="G69" i="18"/>
  <c r="H69" i="18"/>
  <c r="C70" i="18"/>
  <c r="G70" i="18"/>
  <c r="H70" i="18"/>
  <c r="C71" i="18"/>
  <c r="G71" i="18"/>
  <c r="H71" i="18"/>
  <c r="C72" i="18"/>
  <c r="G72" i="18"/>
  <c r="H72" i="18"/>
  <c r="C73" i="18"/>
  <c r="G73" i="18"/>
  <c r="H73" i="18"/>
  <c r="H83" i="18"/>
  <c r="H87" i="18"/>
  <c r="G18" i="18"/>
  <c r="H18" i="18"/>
  <c r="H19" i="18"/>
  <c r="H20" i="18"/>
  <c r="H24" i="18"/>
  <c r="H25" i="18"/>
  <c r="H26" i="18"/>
  <c r="H27" i="18"/>
  <c r="H31" i="18"/>
  <c r="H32" i="18"/>
  <c r="H33" i="18"/>
  <c r="H34" i="18"/>
  <c r="G36" i="18"/>
  <c r="H36" i="18"/>
  <c r="G37" i="18"/>
  <c r="H37" i="18"/>
  <c r="G38" i="18"/>
  <c r="H38" i="18"/>
  <c r="G39" i="18"/>
  <c r="H39" i="18"/>
  <c r="H40" i="18"/>
  <c r="G41" i="18"/>
  <c r="H41" i="18"/>
  <c r="E42" i="18"/>
  <c r="G42" i="18"/>
  <c r="H42" i="18"/>
  <c r="H86" i="18"/>
  <c r="H88" i="18"/>
  <c r="H90" i="18"/>
  <c r="F24" i="17"/>
  <c r="H24" i="17"/>
  <c r="F25" i="17"/>
  <c r="H25" i="17"/>
  <c r="F26" i="17"/>
  <c r="H26" i="17"/>
  <c r="F27" i="17"/>
  <c r="H27" i="17"/>
  <c r="F28" i="17"/>
  <c r="H28" i="17"/>
  <c r="F29" i="17"/>
  <c r="H29" i="17"/>
  <c r="H31" i="17"/>
  <c r="F31" i="17"/>
  <c r="D54" i="21"/>
  <c r="E54" i="21"/>
  <c r="E53" i="21"/>
  <c r="E64" i="21"/>
  <c r="B33" i="21"/>
  <c r="B45" i="21"/>
  <c r="D45" i="21"/>
  <c r="E45" i="21"/>
  <c r="B46" i="21"/>
  <c r="D46" i="21"/>
  <c r="E46" i="21"/>
  <c r="B47" i="21"/>
  <c r="D47" i="21"/>
  <c r="E47" i="21"/>
  <c r="B48" i="21"/>
  <c r="D48" i="21"/>
  <c r="E48" i="21"/>
  <c r="B49" i="21"/>
  <c r="D49" i="21"/>
  <c r="E49" i="21"/>
  <c r="B50" i="21"/>
  <c r="D50" i="21"/>
  <c r="E50" i="21"/>
  <c r="B51" i="21"/>
  <c r="D51" i="21"/>
  <c r="E51" i="21"/>
  <c r="E44" i="21"/>
  <c r="A46" i="21"/>
  <c r="C46" i="21"/>
  <c r="A47" i="21"/>
  <c r="C47" i="21"/>
  <c r="A48" i="21"/>
  <c r="C48" i="21"/>
  <c r="A49" i="21"/>
  <c r="C49" i="21"/>
  <c r="A50" i="21"/>
  <c r="C50" i="21"/>
  <c r="A51" i="21"/>
  <c r="C51" i="21"/>
  <c r="E34" i="18"/>
  <c r="B34" i="21"/>
  <c r="B35" i="21"/>
  <c r="B36" i="21"/>
  <c r="B32" i="21"/>
  <c r="A33" i="21"/>
  <c r="C33" i="21"/>
  <c r="D33" i="21"/>
  <c r="A34" i="21"/>
  <c r="C34" i="21"/>
  <c r="D34" i="21"/>
  <c r="A35" i="21"/>
  <c r="C35" i="21"/>
  <c r="D35" i="21"/>
  <c r="A36" i="21"/>
  <c r="C36" i="21"/>
  <c r="D36" i="21"/>
  <c r="A37" i="21"/>
  <c r="C37" i="21"/>
  <c r="D37" i="21"/>
  <c r="A38" i="21"/>
  <c r="B38" i="21"/>
  <c r="C38" i="21"/>
  <c r="D38" i="21"/>
  <c r="E38" i="21"/>
  <c r="A39" i="21"/>
  <c r="B39" i="21"/>
  <c r="C39" i="21"/>
  <c r="D39" i="21"/>
  <c r="A40" i="21"/>
  <c r="B40" i="21"/>
  <c r="C40" i="21"/>
  <c r="D40" i="21"/>
  <c r="A41" i="21"/>
  <c r="B41" i="21"/>
  <c r="C41" i="21"/>
  <c r="D41" i="21"/>
  <c r="A42" i="21"/>
  <c r="B42" i="21"/>
  <c r="C42" i="21"/>
  <c r="D42" i="21"/>
  <c r="C45" i="21"/>
  <c r="A45" i="21"/>
  <c r="D32" i="21"/>
  <c r="C32" i="21"/>
  <c r="A32" i="21"/>
  <c r="C29" i="21"/>
  <c r="B29" i="21"/>
  <c r="A29" i="21"/>
  <c r="D28" i="21"/>
  <c r="C28" i="21"/>
  <c r="B28" i="21"/>
  <c r="A28" i="21"/>
  <c r="D27" i="21"/>
  <c r="C27" i="21"/>
  <c r="B27" i="21"/>
  <c r="A27" i="21"/>
  <c r="D24" i="21"/>
  <c r="C24" i="21"/>
  <c r="B24" i="21"/>
  <c r="A24" i="21"/>
  <c r="B23" i="21"/>
  <c r="C23" i="21"/>
  <c r="D23" i="21"/>
  <c r="A23" i="21"/>
  <c r="G12" i="18"/>
  <c r="H12" i="18"/>
  <c r="A14" i="21"/>
  <c r="B14" i="21"/>
  <c r="D14" i="21"/>
  <c r="A15" i="21"/>
  <c r="B15" i="21"/>
  <c r="D15" i="21"/>
  <c r="A16" i="21"/>
  <c r="B16" i="21"/>
  <c r="D16" i="21"/>
  <c r="D13" i="21"/>
  <c r="B13" i="21"/>
  <c r="A13" i="21"/>
  <c r="B8" i="21"/>
  <c r="B7" i="21"/>
  <c r="A64" i="21"/>
  <c r="A63" i="21"/>
  <c r="A62" i="21"/>
  <c r="A61" i="21"/>
  <c r="A60" i="21"/>
  <c r="A59" i="21"/>
  <c r="E19" i="17"/>
  <c r="F19" i="17"/>
  <c r="E42" i="21"/>
  <c r="E40" i="21"/>
  <c r="E41" i="21"/>
  <c r="E37" i="21"/>
  <c r="E15" i="21"/>
  <c r="E28" i="21"/>
  <c r="E32" i="21"/>
  <c r="E23" i="21"/>
  <c r="E14" i="21"/>
  <c r="E36" i="21"/>
  <c r="E33" i="21"/>
  <c r="E16" i="21"/>
  <c r="E39" i="21"/>
  <c r="E24" i="21"/>
  <c r="E34" i="21"/>
  <c r="E27" i="21"/>
  <c r="E13" i="21"/>
  <c r="E22" i="21"/>
  <c r="E60" i="21"/>
  <c r="E18" i="21"/>
  <c r="E59" i="21"/>
  <c r="E63" i="21"/>
  <c r="E19" i="18"/>
  <c r="C63" i="18"/>
  <c r="G11" i="18"/>
  <c r="H11" i="18"/>
  <c r="K11" i="18"/>
  <c r="C13" i="18"/>
  <c r="G13" i="18"/>
  <c r="G17" i="18"/>
  <c r="H17" i="18"/>
  <c r="G19" i="18"/>
  <c r="G20" i="18"/>
  <c r="G23" i="18"/>
  <c r="H23" i="18"/>
  <c r="G24" i="18"/>
  <c r="G25" i="18"/>
  <c r="C26" i="18"/>
  <c r="E35" i="21"/>
  <c r="G32" i="18"/>
  <c r="G28" i="18"/>
  <c r="H28" i="18"/>
  <c r="G29" i="18"/>
  <c r="H29" i="18"/>
  <c r="G30" i="18"/>
  <c r="H30" i="18"/>
  <c r="G33" i="18"/>
  <c r="G34" i="18"/>
  <c r="G35" i="18"/>
  <c r="H35" i="18"/>
  <c r="G40" i="18"/>
  <c r="C52" i="18"/>
  <c r="G52" i="18"/>
  <c r="H52" i="18"/>
  <c r="C53" i="18"/>
  <c r="G53" i="18"/>
  <c r="H53" i="18"/>
  <c r="C56" i="18"/>
  <c r="C57" i="18"/>
  <c r="G57" i="18"/>
  <c r="H57" i="18"/>
  <c r="C58" i="18"/>
  <c r="C59" i="18"/>
  <c r="C61" i="18"/>
  <c r="C65" i="18"/>
  <c r="G65" i="18"/>
  <c r="H65" i="18"/>
  <c r="C66" i="18"/>
  <c r="G66" i="18"/>
  <c r="H66" i="18"/>
  <c r="C62" i="18"/>
  <c r="G62" i="18"/>
  <c r="H62" i="18"/>
  <c r="C64" i="18"/>
  <c r="G64" i="18"/>
  <c r="H64" i="18"/>
  <c r="C67" i="18"/>
  <c r="E67" i="18"/>
  <c r="K70" i="18"/>
  <c r="L70" i="18"/>
  <c r="M70" i="18"/>
  <c r="F16" i="17"/>
  <c r="F17" i="17"/>
  <c r="F18" i="17"/>
  <c r="F21" i="17"/>
  <c r="M6" i="18"/>
  <c r="H16" i="17"/>
  <c r="D53" i="18"/>
  <c r="D52" i="18"/>
  <c r="H17" i="17"/>
  <c r="H18" i="17"/>
  <c r="H21" i="17"/>
  <c r="M89" i="18"/>
  <c r="L89" i="18"/>
  <c r="E31" i="21"/>
  <c r="E62" i="21"/>
  <c r="K40" i="18"/>
  <c r="L40" i="18"/>
  <c r="M40" i="18"/>
  <c r="K65" i="18"/>
  <c r="L65" i="18"/>
  <c r="M65" i="18"/>
  <c r="K26" i="18"/>
  <c r="L26" i="18"/>
  <c r="M26" i="18"/>
  <c r="K61" i="18"/>
  <c r="L61" i="18"/>
  <c r="M61" i="18"/>
  <c r="K37" i="18"/>
  <c r="L37" i="18"/>
  <c r="M37" i="18"/>
  <c r="K25" i="18"/>
  <c r="L25" i="18"/>
  <c r="M25" i="18"/>
  <c r="K33" i="18"/>
  <c r="L33" i="18"/>
  <c r="M33" i="18"/>
  <c r="K56" i="18"/>
  <c r="L56" i="18"/>
  <c r="M56" i="18"/>
  <c r="K72" i="18"/>
  <c r="L72" i="18"/>
  <c r="M72" i="18"/>
  <c r="C60" i="18"/>
  <c r="K60" i="18"/>
  <c r="L60" i="18"/>
  <c r="M60" i="18"/>
  <c r="K28" i="18"/>
  <c r="L28" i="18"/>
  <c r="M28" i="18"/>
  <c r="K24" i="18"/>
  <c r="L24" i="18"/>
  <c r="M24" i="18"/>
  <c r="K71" i="18"/>
  <c r="L71" i="18"/>
  <c r="M71" i="18"/>
  <c r="K35" i="18"/>
  <c r="L35" i="18"/>
  <c r="M35" i="18"/>
  <c r="K32" i="18"/>
  <c r="L32" i="18"/>
  <c r="M32" i="18"/>
  <c r="K23" i="18"/>
  <c r="L23" i="18"/>
  <c r="M23" i="18"/>
  <c r="K64" i="18"/>
  <c r="L64" i="18"/>
  <c r="M64" i="18"/>
  <c r="K58" i="18"/>
  <c r="L58" i="18"/>
  <c r="M58" i="18"/>
  <c r="K41" i="18"/>
  <c r="L41" i="18"/>
  <c r="M41" i="18"/>
  <c r="K34" i="18"/>
  <c r="L34" i="18"/>
  <c r="M34" i="18"/>
  <c r="K62" i="18"/>
  <c r="L62" i="18"/>
  <c r="M62" i="18"/>
  <c r="K53" i="18"/>
  <c r="L53" i="18"/>
  <c r="M53" i="18"/>
  <c r="K38" i="18"/>
  <c r="L38" i="18"/>
  <c r="M38" i="18"/>
  <c r="K27" i="18"/>
  <c r="L27" i="18"/>
  <c r="M27" i="18"/>
  <c r="K19" i="18"/>
  <c r="L19" i="18"/>
  <c r="M19" i="18"/>
  <c r="K69" i="18"/>
  <c r="L69" i="18"/>
  <c r="M69" i="18"/>
  <c r="K18" i="18"/>
  <c r="L18" i="18"/>
  <c r="M18" i="18"/>
  <c r="K39" i="18"/>
  <c r="L39" i="18"/>
  <c r="M39" i="18"/>
  <c r="K20" i="18"/>
  <c r="L20" i="18"/>
  <c r="M20" i="18"/>
  <c r="K68" i="18"/>
  <c r="L68" i="18"/>
  <c r="M68" i="18"/>
  <c r="K67" i="18"/>
  <c r="L67" i="18"/>
  <c r="M67" i="18"/>
  <c r="K57" i="18"/>
  <c r="L57" i="18"/>
  <c r="M57" i="18"/>
  <c r="K12" i="18"/>
  <c r="L12" i="18"/>
  <c r="M12" i="18"/>
  <c r="K59" i="18"/>
  <c r="L59" i="18"/>
  <c r="M59" i="18"/>
  <c r="K29" i="18"/>
  <c r="L29" i="18"/>
  <c r="M29" i="18"/>
  <c r="K17" i="18"/>
  <c r="L17" i="18"/>
  <c r="M17" i="18"/>
  <c r="K66" i="18"/>
  <c r="L66" i="18"/>
  <c r="M66" i="18"/>
  <c r="K36" i="18"/>
  <c r="L36" i="18"/>
  <c r="M36" i="18"/>
  <c r="D29" i="21"/>
  <c r="E29" i="21"/>
  <c r="K13" i="18"/>
  <c r="L13" i="18"/>
  <c r="M13" i="18"/>
  <c r="H13" i="18"/>
  <c r="L11" i="18"/>
  <c r="K52" i="18"/>
  <c r="K73" i="18"/>
  <c r="L73" i="18"/>
  <c r="M73" i="18"/>
  <c r="K30" i="18"/>
  <c r="L30" i="18"/>
  <c r="M30" i="18"/>
  <c r="K63" i="18"/>
  <c r="L63" i="18"/>
  <c r="M63" i="18"/>
  <c r="K31" i="18"/>
  <c r="L31" i="18"/>
  <c r="M31" i="18"/>
  <c r="E26" i="21"/>
  <c r="E56" i="21"/>
  <c r="K42" i="18"/>
  <c r="L42" i="18"/>
  <c r="M42" i="18"/>
  <c r="K87" i="18"/>
  <c r="L52" i="18"/>
  <c r="M11" i="18"/>
  <c r="E61" i="21"/>
  <c r="E66" i="21"/>
  <c r="K86" i="18"/>
  <c r="K88" i="18"/>
  <c r="K90" i="18"/>
  <c r="M47" i="18"/>
  <c r="M86" i="18"/>
  <c r="L47" i="18"/>
  <c r="L86" i="18"/>
  <c r="L87" i="18"/>
  <c r="M52" i="18"/>
  <c r="M87" i="18"/>
  <c r="M88" i="18"/>
  <c r="M90" i="18"/>
  <c r="L88" i="18"/>
  <c r="L90" i="18"/>
</calcChain>
</file>

<file path=xl/sharedStrings.xml><?xml version="1.0" encoding="utf-8"?>
<sst xmlns="http://schemas.openxmlformats.org/spreadsheetml/2006/main" count="543" uniqueCount="239">
  <si>
    <t>TOTAL</t>
  </si>
  <si>
    <t>Total</t>
  </si>
  <si>
    <t>Type d'investissement</t>
  </si>
  <si>
    <t>Unité</t>
  </si>
  <si>
    <t>INVESTISSEMENT INITIAL AGR</t>
  </si>
  <si>
    <t>Coûts fixes</t>
  </si>
  <si>
    <t>Coûts variables</t>
  </si>
  <si>
    <t>B</t>
  </si>
  <si>
    <t>A-Nº</t>
  </si>
  <si>
    <t>A</t>
  </si>
  <si>
    <t>B-Nº</t>
  </si>
  <si>
    <t>C-Nº</t>
  </si>
  <si>
    <t>C</t>
  </si>
  <si>
    <t>A.1</t>
  </si>
  <si>
    <t>A.2</t>
  </si>
  <si>
    <t>A.3</t>
  </si>
  <si>
    <t>B.1</t>
  </si>
  <si>
    <t>B.2</t>
  </si>
  <si>
    <t>B.4</t>
  </si>
  <si>
    <t>B.5</t>
  </si>
  <si>
    <t>B.6</t>
  </si>
  <si>
    <t>B.7</t>
  </si>
  <si>
    <t>B.8</t>
  </si>
  <si>
    <t>C.1</t>
  </si>
  <si>
    <t>C.2</t>
  </si>
  <si>
    <t>C.3</t>
  </si>
  <si>
    <t>COÛTS DE L'ACTIVITÉ</t>
  </si>
  <si>
    <t>B.9</t>
  </si>
  <si>
    <t>B.10</t>
  </si>
  <si>
    <t>B.11</t>
  </si>
  <si>
    <t>Amortissement</t>
  </si>
  <si>
    <t>Type de dépenses</t>
  </si>
  <si>
    <t>Localité :</t>
  </si>
  <si>
    <t>PLAN D'AFFAIRES SIMPLIFIE</t>
  </si>
  <si>
    <t xml:space="preserve">Contributions projet: </t>
  </si>
  <si>
    <r>
      <t xml:space="preserve">Cycle de l'AGR </t>
    </r>
    <r>
      <rPr>
        <i/>
        <sz val="12"/>
        <color theme="1"/>
        <rFont val="Calibri"/>
        <family val="2"/>
        <scheme val="minor"/>
      </rPr>
      <t>(hebdomadaire, mensuel, annuel, etc.):</t>
    </r>
  </si>
  <si>
    <t>Coût unitaire</t>
  </si>
  <si>
    <t>DEPENSES PAR CYCLE</t>
  </si>
  <si>
    <t>RECETTES PAR CYCLE</t>
  </si>
  <si>
    <t>Produit / service</t>
  </si>
  <si>
    <t>Transport</t>
  </si>
  <si>
    <t>Prix unitaire</t>
  </si>
  <si>
    <t>Plan Economique</t>
  </si>
  <si>
    <t>Cycle vie (ans)</t>
  </si>
  <si>
    <r>
      <t xml:space="preserve">Nom, Prénom </t>
    </r>
    <r>
      <rPr>
        <sz val="12"/>
        <color theme="1"/>
        <rFont val="Calibri"/>
        <family val="2"/>
        <scheme val="minor"/>
      </rPr>
      <t>(bénéficiaire, personne de contact)</t>
    </r>
    <r>
      <rPr>
        <b/>
        <sz val="12"/>
        <color theme="1"/>
        <rFont val="Calibri"/>
        <family val="2"/>
        <scheme val="minor"/>
      </rPr>
      <t>:</t>
    </r>
  </si>
  <si>
    <t>Numéro téléphone :</t>
  </si>
  <si>
    <t xml:space="preserve">Contributions bénéficiaire: </t>
  </si>
  <si>
    <t>Quantité</t>
  </si>
  <si>
    <t>BÉNÉFICES PAR CYCLE</t>
  </si>
  <si>
    <t>RECETTES DE L'ACTIVITÉ</t>
  </si>
  <si>
    <t>amortis./an</t>
  </si>
  <si>
    <t>Information général et Investissement initial</t>
  </si>
  <si>
    <t>Plan Economique Simplifié</t>
  </si>
  <si>
    <t>Prévision de recettes et dépenses par 3 ans</t>
  </si>
  <si>
    <t>Année 2</t>
  </si>
  <si>
    <t>Année 1</t>
  </si>
  <si>
    <t>Année 3</t>
  </si>
  <si>
    <t>Conversion (cycle--&gt; an)</t>
  </si>
  <si>
    <t>hebdomadaire</t>
  </si>
  <si>
    <t>annuel</t>
  </si>
  <si>
    <t>semestre (6mois)</t>
  </si>
  <si>
    <t>trimestrielle (3mois)</t>
  </si>
  <si>
    <t>Type de Cycle</t>
  </si>
  <si>
    <t>mensuel</t>
  </si>
  <si>
    <t>quincénaire</t>
  </si>
  <si>
    <t>(C-B) BÉNÉFICE</t>
  </si>
  <si>
    <t>(C-B-A) BÉNÉFICE</t>
  </si>
  <si>
    <t>bimensuel (2mois)</t>
  </si>
  <si>
    <t>MRU</t>
  </si>
  <si>
    <t>RÉSUMÉ SUPPORT AGR</t>
  </si>
  <si>
    <t>Poisson</t>
  </si>
  <si>
    <t>Légumes</t>
  </si>
  <si>
    <t>C.4</t>
  </si>
  <si>
    <t>C.5</t>
  </si>
  <si>
    <t>Transport poisson</t>
  </si>
  <si>
    <t>Location boutique</t>
  </si>
  <si>
    <t>Denrées alimentaires - sucre</t>
  </si>
  <si>
    <t>Denrées alimentaires - huile</t>
  </si>
  <si>
    <t>20 litres</t>
  </si>
  <si>
    <t>litres</t>
  </si>
  <si>
    <t>Denrées alimentaires - pate</t>
  </si>
  <si>
    <t>B.12</t>
  </si>
  <si>
    <t>C.7</t>
  </si>
  <si>
    <t>B.13</t>
  </si>
  <si>
    <t>C.8</t>
  </si>
  <si>
    <t>C.9</t>
  </si>
  <si>
    <t>B.14</t>
  </si>
  <si>
    <t>B.15</t>
  </si>
  <si>
    <t>B.16</t>
  </si>
  <si>
    <t>B.17</t>
  </si>
  <si>
    <t>B.18</t>
  </si>
  <si>
    <t>B.19</t>
  </si>
  <si>
    <t>B.20</t>
  </si>
  <si>
    <t>B.21</t>
  </si>
  <si>
    <t>B.22</t>
  </si>
  <si>
    <t>C.10</t>
  </si>
  <si>
    <t>C.11</t>
  </si>
  <si>
    <t>C.12</t>
  </si>
  <si>
    <t>Denrées alimentaires - riz</t>
  </si>
  <si>
    <t>Denrées alimentaires - blé</t>
  </si>
  <si>
    <t>Remarques</t>
  </si>
  <si>
    <t>Achats hebdomadaires</t>
  </si>
  <si>
    <t>Achats mensuels</t>
  </si>
  <si>
    <t>Mois</t>
  </si>
  <si>
    <t>Semaine</t>
  </si>
  <si>
    <t>Ventes hebdomadaires</t>
  </si>
  <si>
    <t>Ventes mensuels</t>
  </si>
  <si>
    <t>Total (Mois)</t>
  </si>
  <si>
    <t>C.13</t>
  </si>
  <si>
    <t>C.14</t>
  </si>
  <si>
    <t>C.15</t>
  </si>
  <si>
    <t>B.23</t>
  </si>
  <si>
    <t>Emballages</t>
  </si>
  <si>
    <t>Entretien</t>
  </si>
  <si>
    <t>1 fois par an</t>
  </si>
  <si>
    <t>Club de mères - Nidame</t>
  </si>
  <si>
    <t>Nidame</t>
  </si>
  <si>
    <t>stageres et tables</t>
  </si>
  <si>
    <t>Poisson (y compris la glace)</t>
  </si>
  <si>
    <t>Thermo 24l</t>
  </si>
  <si>
    <t>C.6</t>
  </si>
  <si>
    <t>Balance 1500 + nattes, hygiène etc.</t>
  </si>
  <si>
    <t>1 fois par semaine</t>
  </si>
  <si>
    <t>Barkeol</t>
  </si>
  <si>
    <t>Denrées alimentaires - bidon vide</t>
  </si>
  <si>
    <t>Venden los bidones vaciós</t>
  </si>
  <si>
    <t>Denrées alimentaires - thé</t>
  </si>
  <si>
    <t>Barkeol, parfois Khaera</t>
  </si>
  <si>
    <t>Denrées alimentaires - biscuits</t>
  </si>
  <si>
    <t>Denrées alimentaires - savon</t>
  </si>
  <si>
    <t>Denrées alimentaires - OMO</t>
  </si>
  <si>
    <t>Denrées alimentaires - Gloria</t>
  </si>
  <si>
    <t>Kiffa</t>
  </si>
  <si>
    <t>Crédit téléphone</t>
  </si>
  <si>
    <t>B.3</t>
  </si>
  <si>
    <t>B.24</t>
  </si>
  <si>
    <t>B.25</t>
  </si>
  <si>
    <t>B.26</t>
  </si>
  <si>
    <t>C.16</t>
  </si>
  <si>
    <t>C.17</t>
  </si>
  <si>
    <t>C.18</t>
  </si>
  <si>
    <t>C.19</t>
  </si>
  <si>
    <t>C.20</t>
  </si>
  <si>
    <t xml:space="preserve">Apport CRM </t>
  </si>
  <si>
    <r>
      <t>Type/nom de l'activité génératrice de revenus:</t>
    </r>
    <r>
      <rPr>
        <sz val="11"/>
        <color theme="1"/>
        <rFont val="Calibri"/>
        <family val="2"/>
        <scheme val="minor"/>
      </rPr>
      <t xml:space="preserve"> </t>
    </r>
  </si>
  <si>
    <t>forfait</t>
  </si>
  <si>
    <t>unités</t>
  </si>
  <si>
    <t>1 mois</t>
  </si>
  <si>
    <t>Kiffa; 200 Khaera; 200 Barkeol</t>
  </si>
  <si>
    <t>1/2 cycle</t>
  </si>
  <si>
    <t>sac 50 kg</t>
  </si>
  <si>
    <t>10 kg</t>
  </si>
  <si>
    <t>carton 45 ud</t>
  </si>
  <si>
    <t>carton 150 ud</t>
  </si>
  <si>
    <t>boite de 5 kg</t>
  </si>
  <si>
    <t>carton 96 ud</t>
  </si>
  <si>
    <t>transport</t>
  </si>
  <si>
    <t>kg</t>
  </si>
  <si>
    <t>sac 50 ud</t>
  </si>
  <si>
    <t>loyer</t>
  </si>
  <si>
    <t>Boutique / magasin de produits diverses, notamment produits alimentaires (denrées alimentaires de base, poisson et légumes), habilles, produits d’hygiène et recharge téléphonique.</t>
  </si>
  <si>
    <t>Forfait démarrage (transport matériels, visites fournisseurs, etc.)</t>
  </si>
  <si>
    <t>A.4</t>
  </si>
  <si>
    <t>Amenagement boutique</t>
  </si>
  <si>
    <t>Equipment (balance, nattes, nettoyage…)</t>
  </si>
  <si>
    <t>Apport du CRM (AGR Clubs des Mères)</t>
  </si>
  <si>
    <t>PLAN ECONOMIQUE du PLAN d'AFFAIRES SIMPLIFIE</t>
  </si>
  <si>
    <r>
      <t xml:space="preserve">Nom, Prénom </t>
    </r>
    <r>
      <rPr>
        <sz val="11"/>
        <color theme="1"/>
        <rFont val="Calibri"/>
        <family val="2"/>
        <scheme val="minor"/>
      </rPr>
      <t>(bénéficiaire)</t>
    </r>
    <r>
      <rPr>
        <b/>
        <sz val="11"/>
        <color theme="1"/>
        <rFont val="Calibri"/>
        <family val="2"/>
        <scheme val="minor"/>
      </rPr>
      <t>:</t>
    </r>
  </si>
  <si>
    <t>Investissement AGR</t>
  </si>
  <si>
    <t>Coût ud (MRU)</t>
  </si>
  <si>
    <t>Total (MRU)</t>
  </si>
  <si>
    <t>Couverture CRM</t>
  </si>
  <si>
    <t>totale</t>
  </si>
  <si>
    <t>Total Investissement AGR couvert</t>
  </si>
  <si>
    <t>Dépenses par cycle (Fonds de roulement)</t>
  </si>
  <si>
    <t>Coûts variables. Vente de poisson et légumes, cycle hebdomadaire</t>
  </si>
  <si>
    <t>1 cycle</t>
  </si>
  <si>
    <t>1/2 mois (1/2 cycle)</t>
  </si>
  <si>
    <t>1 mois (1 cycle)</t>
  </si>
  <si>
    <t>Coûts variables. Vente d'habilles, cycle mensuel</t>
  </si>
  <si>
    <t>Autres</t>
  </si>
  <si>
    <t>Emballages et autres dépenses mineures</t>
  </si>
  <si>
    <t>Total dépenses (fond roulement) couvertes</t>
  </si>
  <si>
    <t>Total Contribution CRM (MRU)</t>
  </si>
  <si>
    <t>Loyer Charrette</t>
  </si>
  <si>
    <t>trajet</t>
  </si>
  <si>
    <t>trajet vente à domicile et autres villages</t>
  </si>
  <si>
    <t>Transporteur denrées alimentaires</t>
  </si>
  <si>
    <t>Coûts variables. Vente de denrées alimentaires, produits d’hygiène et credit telephonique, cycle mensuel</t>
  </si>
  <si>
    <t>2 thermos par fois + légumes</t>
  </si>
  <si>
    <t>Denrées alimentaires - omo</t>
  </si>
  <si>
    <t>25 sacs sur les 80 sacs par cycle</t>
  </si>
  <si>
    <t>1/2 cycle, plus stock</t>
  </si>
  <si>
    <t>Année 2 et 3</t>
  </si>
  <si>
    <t>Thermo pour le transport 48 Kg.</t>
  </si>
  <si>
    <t>unité</t>
  </si>
  <si>
    <t>Amenagement boutique (estimation)</t>
  </si>
  <si>
    <t>ameliorations pour l'augmantation de produits</t>
  </si>
  <si>
    <t>Congelateur solaire 208 litres, avec panneaux, installation et transport</t>
  </si>
  <si>
    <t>Achat à Kiffa</t>
  </si>
  <si>
    <t>Charrette</t>
  </si>
  <si>
    <t>Ane (pour la charette)</t>
  </si>
  <si>
    <t>A.5</t>
  </si>
  <si>
    <t>Equipment (estimation)</t>
  </si>
  <si>
    <t>multiprises, pots, etc</t>
  </si>
  <si>
    <t>TOTAL ANNÉES 2 ET 3</t>
  </si>
  <si>
    <t>Plan économique pour le premier année selon la définition élaborée avec le groupement.
Scenario d'évolution du PAS: achat d'un congélateur. Augmantation des ventes de poisson, et de denrées alimentaires, produits d'ghygiene, etc. (25%), Vente dans les villages voisins avec le charrette. Inclure des boissons et des poulets. Inclure le service de recharge de telephones et le service de transport. L'évolution est calculé sur la base de bénéfices mensuels et en utilisant les résultats des AGRs d'autres groupements.</t>
  </si>
  <si>
    <t>MOIS</t>
  </si>
  <si>
    <t>Scenario évolution AGR (années 2 et 3), estimation mensuelle</t>
  </si>
  <si>
    <t>C1</t>
  </si>
  <si>
    <t>Bénéfice. Augmentation poisson et légumes</t>
  </si>
  <si>
    <t>Doubler les ventes</t>
  </si>
  <si>
    <t>C2</t>
  </si>
  <si>
    <t>Bénéfice. Augmentation d. alimentaires, charbon et produits d'hygiens</t>
  </si>
  <si>
    <t>25%</t>
  </si>
  <si>
    <t>C3</t>
  </si>
  <si>
    <t>Bénéfice. Diversification, vente de boissons</t>
  </si>
  <si>
    <t>C4</t>
  </si>
  <si>
    <t>Bénéfice. Diversification vente poulets</t>
  </si>
  <si>
    <t>C5</t>
  </si>
  <si>
    <t>Service transport</t>
  </si>
  <si>
    <t>C6</t>
  </si>
  <si>
    <t>Recharge telephone</t>
  </si>
  <si>
    <t>Scenario évolution AGR (années 2 et 3)</t>
  </si>
  <si>
    <t>Entretien congelateur</t>
  </si>
  <si>
    <t>Ajout de l'entretien du congélateur</t>
  </si>
  <si>
    <t>Vêtements - Voiles (dif. categories)</t>
  </si>
  <si>
    <t>Vêtements - Robes</t>
  </si>
  <si>
    <t>Vêtements - Chaussures</t>
  </si>
  <si>
    <t>Vêtements - Produits de beauté vaseline</t>
  </si>
  <si>
    <t>Vêtements - Vêtements bebé</t>
  </si>
  <si>
    <t>Vêtements - Tissues</t>
  </si>
  <si>
    <t>Transport Vêtements</t>
  </si>
  <si>
    <t>RESUME</t>
  </si>
  <si>
    <t xml:space="preserve">Investissement </t>
  </si>
  <si>
    <t>Dépenses fixes</t>
  </si>
  <si>
    <t>Dépenses variables</t>
  </si>
  <si>
    <t>Recettes</t>
  </si>
  <si>
    <t xml:space="preserve">Type/nom de l'activité génératrice de revenus: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</si>
</sst>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 _€_-;\-* #,##0.00\ _€_-;_-* &quot;-&quot;??\ _€_-;_-@_-"/>
    <numFmt numFmtId="164" formatCode="_-* #,##0\ _€_-;\-* #,##0\ _€_-;_-* &quot;-&quot;??\ _€_-;_-@_-"/>
    <numFmt numFmtId="165" formatCode="0.0"/>
  </numFmts>
  <fonts count="24" x14ac:knownFonts="1">
    <font>
      <sz val="11"/>
      <color theme="1"/>
      <name val="Calibri"/>
      <family val="2"/>
      <scheme val="minor"/>
    </font>
    <font>
      <sz val="12"/>
      <color theme="1"/>
      <name val="Calibri"/>
      <family val="2"/>
      <scheme val="minor"/>
    </font>
    <font>
      <b/>
      <sz val="11"/>
      <color theme="0"/>
      <name val="Calibri"/>
      <family val="2"/>
      <scheme val="minor"/>
    </font>
    <font>
      <b/>
      <sz val="11"/>
      <color rgb="FFC00000"/>
      <name val="Calibri"/>
      <family val="2"/>
      <scheme val="minor"/>
    </font>
    <font>
      <b/>
      <sz val="11"/>
      <color theme="1"/>
      <name val="Calibri"/>
      <family val="2"/>
      <scheme val="minor"/>
    </font>
    <font>
      <i/>
      <sz val="11"/>
      <color theme="1"/>
      <name val="Calibri"/>
      <family val="2"/>
      <scheme val="minor"/>
    </font>
    <font>
      <b/>
      <sz val="11"/>
      <name val="Calibri"/>
      <family val="2"/>
      <scheme val="minor"/>
    </font>
    <font>
      <sz val="11"/>
      <color theme="1"/>
      <name val="Calibri"/>
      <family val="2"/>
      <scheme val="minor"/>
    </font>
    <font>
      <b/>
      <sz val="11"/>
      <color theme="1"/>
      <name val="Calibri"/>
      <family val="2"/>
    </font>
    <font>
      <b/>
      <sz val="14"/>
      <color theme="0"/>
      <name val="Calibri"/>
      <family val="2"/>
      <scheme val="minor"/>
    </font>
    <font>
      <b/>
      <sz val="12"/>
      <color theme="1"/>
      <name val="Calibri"/>
      <family val="2"/>
      <scheme val="minor"/>
    </font>
    <font>
      <b/>
      <sz val="12"/>
      <name val="Calibri"/>
      <family val="2"/>
      <scheme val="minor"/>
    </font>
    <font>
      <i/>
      <sz val="12"/>
      <color theme="1"/>
      <name val="Calibri"/>
      <family val="2"/>
      <scheme val="minor"/>
    </font>
    <font>
      <sz val="22"/>
      <color rgb="FFC00000"/>
      <name val="Calibri"/>
      <family val="2"/>
      <scheme val="minor"/>
    </font>
    <font>
      <b/>
      <sz val="14"/>
      <color rgb="FFC00000"/>
      <name val="Calibri"/>
      <family val="2"/>
      <scheme val="minor"/>
    </font>
    <font>
      <sz val="11"/>
      <color theme="2" tint="-0.249977111117893"/>
      <name val="Calibri"/>
      <family val="2"/>
      <scheme val="minor"/>
    </font>
    <font>
      <b/>
      <sz val="11"/>
      <color theme="2" tint="-0.249977111117893"/>
      <name val="Calibri"/>
      <family val="2"/>
      <scheme val="minor"/>
    </font>
    <font>
      <b/>
      <sz val="11"/>
      <color rgb="FFFF0000"/>
      <name val="Calibri"/>
      <family val="2"/>
      <scheme val="minor"/>
    </font>
    <font>
      <sz val="11"/>
      <name val="Calibri"/>
      <family val="2"/>
      <scheme val="minor"/>
    </font>
    <font>
      <sz val="11"/>
      <color rgb="FFFF0000"/>
      <name val="Calibri"/>
      <family val="2"/>
      <scheme val="minor"/>
    </font>
    <font>
      <b/>
      <sz val="12"/>
      <color theme="0"/>
      <name val="Calibri"/>
      <family val="2"/>
      <scheme val="minor"/>
    </font>
    <font>
      <sz val="12"/>
      <name val="Calibri"/>
      <family val="2"/>
      <scheme val="minor"/>
    </font>
    <font>
      <sz val="11"/>
      <color theme="8" tint="-0.499984740745262"/>
      <name val="Calibri"/>
      <family val="2"/>
      <scheme val="minor"/>
    </font>
    <font>
      <b/>
      <sz val="11"/>
      <color theme="8" tint="-0.499984740745262"/>
      <name val="Calibri"/>
      <family val="2"/>
      <scheme val="minor"/>
    </font>
  </fonts>
  <fills count="11">
    <fill>
      <patternFill patternType="none"/>
    </fill>
    <fill>
      <patternFill patternType="gray125"/>
    </fill>
    <fill>
      <patternFill patternType="solid">
        <fgColor rgb="FFC00000"/>
        <bgColor indexed="64"/>
      </patternFill>
    </fill>
    <fill>
      <patternFill patternType="solid">
        <fgColor rgb="FFECEADC"/>
        <bgColor indexed="64"/>
      </patternFill>
    </fill>
    <fill>
      <patternFill patternType="solid">
        <fgColor rgb="FFC7C09D"/>
        <bgColor indexed="64"/>
      </patternFill>
    </fill>
    <fill>
      <patternFill patternType="solid">
        <fgColor rgb="FFFFF13B"/>
        <bgColor indexed="64"/>
      </patternFill>
    </fill>
    <fill>
      <patternFill patternType="solid">
        <fgColor theme="2"/>
        <bgColor indexed="64"/>
      </patternFill>
    </fill>
    <fill>
      <patternFill patternType="solid">
        <fgColor theme="0"/>
        <bgColor indexed="64"/>
      </patternFill>
    </fill>
    <fill>
      <patternFill patternType="solid">
        <fgColor theme="2" tint="-9.9978637043366805E-2"/>
        <bgColor indexed="64"/>
      </patternFill>
    </fill>
    <fill>
      <patternFill patternType="solid">
        <fgColor rgb="FFF6F5F0"/>
        <bgColor indexed="64"/>
      </patternFill>
    </fill>
    <fill>
      <patternFill patternType="solid">
        <fgColor theme="8" tint="-0.499984740745262"/>
        <bgColor indexed="64"/>
      </patternFill>
    </fill>
  </fills>
  <borders count="16">
    <border>
      <left/>
      <right/>
      <top/>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s>
  <cellStyleXfs count="2">
    <xf numFmtId="0" fontId="0" fillId="0" borderId="0"/>
    <xf numFmtId="43" fontId="7" fillId="0" borderId="0" applyFont="0" applyFill="0" applyBorder="0" applyAlignment="0" applyProtection="0"/>
  </cellStyleXfs>
  <cellXfs count="225">
    <xf numFmtId="0" fontId="0" fillId="0" borderId="0" xfId="0"/>
    <xf numFmtId="0" fontId="4" fillId="0" borderId="0" xfId="0" applyFont="1" applyBorder="1" applyAlignment="1">
      <alignment vertical="center" wrapText="1"/>
    </xf>
    <xf numFmtId="0" fontId="6" fillId="0" borderId="0" xfId="0" applyFont="1" applyFill="1" applyBorder="1" applyAlignment="1">
      <alignment vertical="center" wrapText="1"/>
    </xf>
    <xf numFmtId="0" fontId="2" fillId="0" borderId="0" xfId="0" applyFont="1" applyFill="1" applyBorder="1" applyAlignment="1">
      <alignment vertical="center"/>
    </xf>
    <xf numFmtId="0" fontId="5" fillId="0" borderId="0" xfId="0" applyFont="1" applyBorder="1" applyAlignment="1">
      <alignment vertical="center"/>
    </xf>
    <xf numFmtId="0" fontId="8" fillId="0" borderId="0" xfId="0" applyFont="1" applyBorder="1" applyAlignment="1">
      <alignment horizontal="justify" vertical="center" wrapText="1"/>
    </xf>
    <xf numFmtId="0" fontId="3" fillId="0" borderId="0" xfId="0" applyFont="1" applyBorder="1" applyAlignment="1">
      <alignment horizontal="center" vertical="center"/>
    </xf>
    <xf numFmtId="0" fontId="4" fillId="0" borderId="0" xfId="0" applyFont="1" applyBorder="1" applyAlignment="1">
      <alignment vertical="center"/>
    </xf>
    <xf numFmtId="0" fontId="4" fillId="0" borderId="0" xfId="0" applyFont="1" applyBorder="1" applyAlignment="1">
      <alignment horizontal="center" vertical="center"/>
    </xf>
    <xf numFmtId="0" fontId="0" fillId="0" borderId="0" xfId="0" applyFont="1" applyBorder="1" applyAlignment="1">
      <alignment vertical="center"/>
    </xf>
    <xf numFmtId="0" fontId="0" fillId="0" borderId="0" xfId="0" applyFont="1" applyBorder="1" applyAlignment="1">
      <alignment horizontal="center" vertical="center"/>
    </xf>
    <xf numFmtId="0" fontId="0" fillId="0" borderId="0" xfId="0" applyFont="1" applyFill="1" applyBorder="1" applyAlignment="1">
      <alignment vertical="center"/>
    </xf>
    <xf numFmtId="0" fontId="4" fillId="0" borderId="0" xfId="0" applyFont="1" applyBorder="1" applyAlignment="1">
      <alignment horizontal="left" vertical="center"/>
    </xf>
    <xf numFmtId="0" fontId="6" fillId="0" borderId="0" xfId="0" applyFont="1" applyFill="1" applyBorder="1" applyAlignment="1">
      <alignment horizontal="left" vertical="center"/>
    </xf>
    <xf numFmtId="0" fontId="9" fillId="0" borderId="0" xfId="0" applyFont="1" applyFill="1" applyBorder="1" applyAlignment="1">
      <alignment horizontal="center" vertical="center"/>
    </xf>
    <xf numFmtId="0" fontId="10" fillId="0" borderId="0" xfId="0" applyFont="1" applyBorder="1" applyAlignment="1">
      <alignment horizontal="left" vertical="center"/>
    </xf>
    <xf numFmtId="0" fontId="0" fillId="0" borderId="3" xfId="0" applyFont="1" applyBorder="1" applyAlignment="1">
      <alignment vertical="center"/>
    </xf>
    <xf numFmtId="0" fontId="4" fillId="0" borderId="3" xfId="0" applyFont="1" applyBorder="1" applyAlignment="1">
      <alignment vertical="center"/>
    </xf>
    <xf numFmtId="0" fontId="4" fillId="0" borderId="1" xfId="0" applyFont="1" applyBorder="1" applyAlignment="1">
      <alignment vertical="center"/>
    </xf>
    <xf numFmtId="0" fontId="3" fillId="3" borderId="0" xfId="0" applyFont="1" applyFill="1" applyBorder="1" applyAlignment="1">
      <alignment horizontal="center" vertical="center"/>
    </xf>
    <xf numFmtId="0" fontId="4" fillId="4" borderId="0" xfId="0" applyFont="1" applyFill="1" applyBorder="1" applyAlignment="1">
      <alignment vertical="center"/>
    </xf>
    <xf numFmtId="0" fontId="0" fillId="3" borderId="0" xfId="0" applyFont="1" applyFill="1" applyBorder="1" applyAlignment="1">
      <alignment horizontal="left" vertical="center"/>
    </xf>
    <xf numFmtId="0" fontId="3" fillId="3" borderId="0" xfId="0" applyFont="1" applyFill="1" applyBorder="1" applyAlignment="1">
      <alignment vertical="center"/>
    </xf>
    <xf numFmtId="0" fontId="3" fillId="0" borderId="0" xfId="0" applyFont="1" applyBorder="1" applyAlignment="1">
      <alignment vertical="center"/>
    </xf>
    <xf numFmtId="0" fontId="0" fillId="3" borderId="0" xfId="0" applyFont="1" applyFill="1" applyBorder="1" applyAlignment="1">
      <alignment horizontal="center" vertical="center"/>
    </xf>
    <xf numFmtId="0" fontId="4" fillId="4" borderId="0" xfId="0" applyFont="1" applyFill="1" applyBorder="1" applyAlignment="1">
      <alignment horizontal="center" vertical="center"/>
    </xf>
    <xf numFmtId="0" fontId="13" fillId="0" borderId="0" xfId="0" applyFont="1" applyBorder="1" applyAlignment="1">
      <alignment vertical="center"/>
    </xf>
    <xf numFmtId="0" fontId="14" fillId="0" borderId="0" xfId="0" applyFont="1" applyBorder="1" applyAlignment="1">
      <alignment vertical="center"/>
    </xf>
    <xf numFmtId="0" fontId="6" fillId="0" borderId="0" xfId="0" applyFont="1" applyBorder="1" applyAlignment="1">
      <alignment vertical="center"/>
    </xf>
    <xf numFmtId="0" fontId="6" fillId="0" borderId="0" xfId="0" applyFont="1" applyFill="1" applyBorder="1" applyAlignment="1">
      <alignment vertical="center"/>
    </xf>
    <xf numFmtId="164" fontId="0" fillId="3" borderId="0" xfId="1" applyNumberFormat="1" applyFont="1" applyFill="1" applyBorder="1" applyAlignment="1">
      <alignment horizontal="center" vertical="center"/>
    </xf>
    <xf numFmtId="164" fontId="4" fillId="4" borderId="0" xfId="1" applyNumberFormat="1" applyFont="1" applyFill="1" applyBorder="1" applyAlignment="1">
      <alignment horizontal="center" vertical="center"/>
    </xf>
    <xf numFmtId="164" fontId="0" fillId="0" borderId="0" xfId="1" applyNumberFormat="1" applyFont="1" applyBorder="1" applyAlignment="1">
      <alignment horizontal="center" vertical="center"/>
    </xf>
    <xf numFmtId="164" fontId="4" fillId="3" borderId="0" xfId="1" applyNumberFormat="1" applyFont="1" applyFill="1" applyBorder="1" applyAlignment="1">
      <alignment vertical="center"/>
    </xf>
    <xf numFmtId="164" fontId="9" fillId="2" borderId="0" xfId="1" applyNumberFormat="1" applyFont="1" applyFill="1" applyBorder="1" applyAlignment="1">
      <alignment horizontal="center" vertical="center"/>
    </xf>
    <xf numFmtId="164" fontId="3" fillId="0" borderId="0" xfId="1" applyNumberFormat="1" applyFont="1" applyBorder="1" applyAlignment="1">
      <alignment horizontal="center" vertical="center"/>
    </xf>
    <xf numFmtId="164" fontId="0" fillId="0" borderId="0" xfId="1" applyNumberFormat="1" applyFont="1" applyBorder="1" applyAlignment="1">
      <alignment vertical="center"/>
    </xf>
    <xf numFmtId="0" fontId="15" fillId="0" borderId="0" xfId="0" applyFont="1" applyBorder="1" applyAlignment="1">
      <alignment vertical="center"/>
    </xf>
    <xf numFmtId="0" fontId="16" fillId="0" borderId="0" xfId="0" applyFont="1" applyFill="1" applyBorder="1" applyAlignment="1">
      <alignment vertical="center" wrapText="1"/>
    </xf>
    <xf numFmtId="0" fontId="16" fillId="0" borderId="0" xfId="0" applyFont="1" applyBorder="1" applyAlignment="1">
      <alignment vertical="center"/>
    </xf>
    <xf numFmtId="0" fontId="16" fillId="0" borderId="0" xfId="0" applyFont="1" applyFill="1" applyBorder="1" applyAlignment="1">
      <alignment vertical="center"/>
    </xf>
    <xf numFmtId="0" fontId="4" fillId="5" borderId="0" xfId="0" applyFont="1" applyFill="1" applyBorder="1" applyAlignment="1">
      <alignment horizontal="center" vertical="center"/>
    </xf>
    <xf numFmtId="164" fontId="0" fillId="5" borderId="0" xfId="1" applyNumberFormat="1" applyFont="1" applyFill="1" applyBorder="1" applyAlignment="1">
      <alignment horizontal="center" vertical="center"/>
    </xf>
    <xf numFmtId="164" fontId="0" fillId="0" borderId="0" xfId="0" applyNumberFormat="1" applyFont="1" applyBorder="1" applyAlignment="1">
      <alignment vertical="center"/>
    </xf>
    <xf numFmtId="0" fontId="18" fillId="0" borderId="0" xfId="0" applyFont="1" applyFill="1" applyAlignment="1">
      <alignment horizontal="center" vertical="top" wrapText="1"/>
    </xf>
    <xf numFmtId="0" fontId="0" fillId="0" borderId="0" xfId="0" applyFill="1" applyAlignment="1">
      <alignment horizontal="center" vertical="top" wrapText="1"/>
    </xf>
    <xf numFmtId="0" fontId="0" fillId="0" borderId="0" xfId="0" applyFont="1" applyBorder="1" applyAlignment="1">
      <alignment horizontal="center" vertical="center"/>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0" fillId="0" borderId="0" xfId="0" applyFont="1" applyBorder="1" applyAlignment="1">
      <alignment horizontal="center" vertical="center"/>
    </xf>
    <xf numFmtId="0" fontId="0" fillId="0" borderId="0" xfId="0" applyFont="1" applyFill="1" applyBorder="1" applyAlignment="1">
      <alignment horizontal="center" vertical="center"/>
    </xf>
    <xf numFmtId="164" fontId="0" fillId="0" borderId="0" xfId="1" applyNumberFormat="1" applyFont="1" applyBorder="1" applyAlignment="1">
      <alignment horizontal="left" vertical="center"/>
    </xf>
    <xf numFmtId="164" fontId="9" fillId="2" borderId="0" xfId="1" applyNumberFormat="1" applyFont="1" applyFill="1" applyBorder="1" applyAlignment="1">
      <alignment horizontal="left" vertical="center"/>
    </xf>
    <xf numFmtId="164" fontId="3" fillId="0" borderId="0" xfId="1" applyNumberFormat="1" applyFont="1" applyBorder="1" applyAlignment="1">
      <alignment horizontal="left" vertical="center"/>
    </xf>
    <xf numFmtId="164" fontId="0" fillId="3" borderId="0" xfId="1" applyNumberFormat="1" applyFont="1" applyFill="1" applyBorder="1" applyAlignment="1">
      <alignment horizontal="left" vertical="center"/>
    </xf>
    <xf numFmtId="164" fontId="4" fillId="4" borderId="0" xfId="1" applyNumberFormat="1" applyFont="1" applyFill="1" applyBorder="1" applyAlignment="1">
      <alignment horizontal="left" vertical="center"/>
    </xf>
    <xf numFmtId="164" fontId="0" fillId="5" borderId="0" xfId="1" applyNumberFormat="1" applyFont="1" applyFill="1" applyBorder="1" applyAlignment="1">
      <alignment horizontal="left" vertical="center"/>
    </xf>
    <xf numFmtId="1" fontId="0" fillId="0" borderId="0" xfId="0" applyNumberFormat="1" applyFont="1" applyBorder="1" applyAlignment="1">
      <alignment horizontal="center" vertical="center"/>
    </xf>
    <xf numFmtId="0" fontId="6" fillId="3" borderId="0" xfId="0" applyFont="1" applyFill="1" applyBorder="1" applyAlignment="1">
      <alignment vertical="center"/>
    </xf>
    <xf numFmtId="0" fontId="6" fillId="3" borderId="0" xfId="0" applyFont="1" applyFill="1" applyBorder="1" applyAlignment="1">
      <alignment horizontal="center" vertical="center"/>
    </xf>
    <xf numFmtId="0" fontId="6" fillId="3" borderId="0" xfId="0" applyFont="1" applyFill="1" applyBorder="1" applyAlignment="1">
      <alignment horizontal="left" vertical="center"/>
    </xf>
    <xf numFmtId="0" fontId="6" fillId="0" borderId="0" xfId="0" applyFont="1" applyBorder="1" applyAlignment="1">
      <alignment horizontal="center" vertical="center"/>
    </xf>
    <xf numFmtId="164" fontId="6" fillId="3" borderId="0" xfId="1" applyNumberFormat="1" applyFont="1" applyFill="1" applyBorder="1" applyAlignment="1">
      <alignment horizontal="center" vertical="center"/>
    </xf>
    <xf numFmtId="164" fontId="6" fillId="3" borderId="0" xfId="1" applyNumberFormat="1" applyFont="1" applyFill="1" applyBorder="1" applyAlignment="1">
      <alignment horizontal="left" vertical="center"/>
    </xf>
    <xf numFmtId="164" fontId="0" fillId="0" borderId="0" xfId="1" applyNumberFormat="1" applyFont="1" applyFill="1" applyBorder="1" applyAlignment="1">
      <alignment horizontal="center" vertical="center"/>
    </xf>
    <xf numFmtId="164" fontId="0" fillId="3" borderId="0" xfId="0" applyNumberFormat="1" applyFont="1" applyFill="1" applyBorder="1" applyAlignment="1">
      <alignment horizontal="center" vertical="center"/>
    </xf>
    <xf numFmtId="0" fontId="0" fillId="0" borderId="0" xfId="0" applyFont="1" applyBorder="1" applyAlignment="1">
      <alignment horizontal="left" vertical="center"/>
    </xf>
    <xf numFmtId="0" fontId="9" fillId="0" borderId="0" xfId="0" applyFont="1" applyFill="1" applyBorder="1" applyAlignment="1">
      <alignment horizontal="left" vertical="center"/>
    </xf>
    <xf numFmtId="0" fontId="2" fillId="0" borderId="0" xfId="0" applyFont="1" applyFill="1" applyBorder="1" applyAlignment="1">
      <alignment horizontal="left" vertical="center"/>
    </xf>
    <xf numFmtId="0" fontId="9" fillId="2" borderId="0" xfId="0" applyFont="1" applyFill="1" applyBorder="1" applyAlignment="1">
      <alignment horizontal="left" vertical="center"/>
    </xf>
    <xf numFmtId="0" fontId="3" fillId="3" borderId="0" xfId="0" applyFont="1" applyFill="1" applyBorder="1" applyAlignment="1">
      <alignment horizontal="left" vertical="center"/>
    </xf>
    <xf numFmtId="0" fontId="0" fillId="0" borderId="0" xfId="0" applyFont="1" applyBorder="1" applyAlignment="1">
      <alignment horizontal="center" vertical="center"/>
    </xf>
    <xf numFmtId="0" fontId="19" fillId="0" borderId="0" xfId="0" applyFont="1" applyBorder="1" applyAlignment="1">
      <alignment vertical="center"/>
    </xf>
    <xf numFmtId="0" fontId="17" fillId="0" borderId="0" xfId="0" applyFont="1" applyBorder="1" applyAlignment="1">
      <alignment vertical="center"/>
    </xf>
    <xf numFmtId="0" fontId="19" fillId="0" borderId="0" xfId="0" applyFont="1" applyFill="1" applyBorder="1" applyAlignment="1">
      <alignment vertical="center"/>
    </xf>
    <xf numFmtId="164" fontId="0" fillId="0" borderId="0" xfId="1" applyNumberFormat="1" applyFont="1" applyFill="1" applyBorder="1" applyAlignment="1">
      <alignment horizontal="left" vertical="center"/>
    </xf>
    <xf numFmtId="0" fontId="0" fillId="6" borderId="0" xfId="0" applyFont="1" applyFill="1" applyBorder="1" applyAlignment="1">
      <alignment horizontal="center" vertical="center"/>
    </xf>
    <xf numFmtId="164" fontId="0" fillId="6" borderId="0" xfId="1" applyNumberFormat="1" applyFont="1" applyFill="1" applyBorder="1" applyAlignment="1">
      <alignment horizontal="center" vertical="center"/>
    </xf>
    <xf numFmtId="164" fontId="0" fillId="6" borderId="0" xfId="1" applyNumberFormat="1" applyFont="1" applyFill="1" applyBorder="1" applyAlignment="1">
      <alignment horizontal="left" vertical="center"/>
    </xf>
    <xf numFmtId="0" fontId="11" fillId="0" borderId="0" xfId="0" applyFont="1" applyFill="1" applyBorder="1" applyAlignment="1">
      <alignment horizontal="left" vertical="center"/>
    </xf>
    <xf numFmtId="0" fontId="18" fillId="0" borderId="0" xfId="0" applyFont="1" applyFill="1" applyBorder="1" applyAlignment="1">
      <alignment vertical="top" wrapText="1"/>
    </xf>
    <xf numFmtId="0" fontId="18" fillId="0" borderId="0" xfId="0" applyFont="1" applyBorder="1" applyAlignment="1">
      <alignment vertical="top" wrapText="1"/>
    </xf>
    <xf numFmtId="164" fontId="18" fillId="0" borderId="0" xfId="1" applyNumberFormat="1" applyFont="1" applyFill="1" applyBorder="1" applyAlignment="1">
      <alignment horizontal="center" vertical="top" wrapText="1"/>
    </xf>
    <xf numFmtId="0" fontId="0" fillId="0" borderId="0" xfId="0" applyFont="1" applyBorder="1" applyAlignment="1">
      <alignment horizontal="center" vertical="center"/>
    </xf>
    <xf numFmtId="0" fontId="9" fillId="2" borderId="0" xfId="0" applyFont="1" applyFill="1" applyBorder="1" applyAlignment="1">
      <alignment horizontal="center" vertical="center"/>
    </xf>
    <xf numFmtId="0" fontId="0" fillId="0" borderId="0" xfId="0" applyFont="1" applyBorder="1" applyAlignment="1">
      <alignment horizontal="center" vertical="center"/>
    </xf>
    <xf numFmtId="0" fontId="4" fillId="4" borderId="0" xfId="0" applyFont="1" applyFill="1" applyBorder="1" applyAlignment="1">
      <alignment horizontal="center" vertical="center"/>
    </xf>
    <xf numFmtId="0" fontId="0" fillId="0" borderId="0" xfId="0" applyFont="1" applyBorder="1" applyAlignment="1">
      <alignment horizontal="center" vertical="center"/>
    </xf>
    <xf numFmtId="0" fontId="0" fillId="0" borderId="0" xfId="0" applyFont="1" applyBorder="1" applyAlignment="1">
      <alignment horizontal="left" vertical="top" wrapText="1"/>
    </xf>
    <xf numFmtId="0" fontId="15" fillId="0" borderId="0" xfId="0" applyFont="1" applyFill="1" applyBorder="1" applyAlignment="1">
      <alignment vertical="center"/>
    </xf>
    <xf numFmtId="0" fontId="5" fillId="0" borderId="0" xfId="0" applyFont="1" applyBorder="1" applyAlignment="1">
      <alignment vertical="center" wrapText="1"/>
    </xf>
    <xf numFmtId="0" fontId="9" fillId="2" borderId="0" xfId="0" applyFont="1" applyFill="1" applyBorder="1" applyAlignment="1">
      <alignment vertical="center"/>
    </xf>
    <xf numFmtId="0" fontId="9" fillId="0" borderId="0" xfId="0" applyFont="1" applyFill="1" applyBorder="1" applyAlignment="1">
      <alignment horizontal="center" vertical="center" wrapText="1"/>
    </xf>
    <xf numFmtId="0" fontId="4" fillId="0" borderId="4" xfId="0" applyFont="1" applyBorder="1" applyAlignment="1">
      <alignment vertical="center"/>
    </xf>
    <xf numFmtId="0" fontId="6" fillId="0" borderId="4" xfId="0" applyFont="1" applyFill="1" applyBorder="1" applyAlignment="1">
      <alignment vertical="center"/>
    </xf>
    <xf numFmtId="164" fontId="17" fillId="3" borderId="7" xfId="1" applyNumberFormat="1" applyFont="1" applyFill="1" applyBorder="1" applyAlignment="1">
      <alignment horizontal="center" vertical="center"/>
    </xf>
    <xf numFmtId="164" fontId="6" fillId="0" borderId="0" xfId="0" applyNumberFormat="1" applyFont="1" applyFill="1" applyBorder="1" applyAlignment="1">
      <alignment vertical="center"/>
    </xf>
    <xf numFmtId="0" fontId="11" fillId="0" borderId="0" xfId="0" applyFont="1" applyFill="1" applyBorder="1" applyAlignment="1">
      <alignment horizontal="left" vertical="center" wrapText="1"/>
    </xf>
    <xf numFmtId="0" fontId="20" fillId="2" borderId="0" xfId="0" applyFont="1" applyFill="1" applyBorder="1" applyAlignment="1">
      <alignment horizontal="left" vertical="center"/>
    </xf>
    <xf numFmtId="0" fontId="3" fillId="0" borderId="0" xfId="0" applyFont="1" applyBorder="1" applyAlignment="1">
      <alignment vertical="center" wrapText="1"/>
    </xf>
    <xf numFmtId="0" fontId="3" fillId="0" borderId="0" xfId="0" applyFont="1" applyBorder="1" applyAlignment="1">
      <alignment horizontal="left" vertical="center"/>
    </xf>
    <xf numFmtId="0" fontId="0" fillId="0" borderId="0" xfId="0" applyFont="1" applyFill="1" applyBorder="1" applyAlignment="1">
      <alignment vertical="center" wrapText="1"/>
    </xf>
    <xf numFmtId="0" fontId="11" fillId="3" borderId="0" xfId="0" applyFont="1" applyFill="1" applyBorder="1" applyAlignment="1">
      <alignment horizontal="left" vertical="center"/>
    </xf>
    <xf numFmtId="0" fontId="11" fillId="3" borderId="0" xfId="0" applyFont="1" applyFill="1" applyBorder="1" applyAlignment="1">
      <alignment horizontal="center" vertical="center"/>
    </xf>
    <xf numFmtId="164" fontId="11" fillId="3" borderId="0" xfId="0" applyNumberFormat="1" applyFont="1" applyFill="1" applyBorder="1" applyAlignment="1">
      <alignment horizontal="center" vertical="center"/>
    </xf>
    <xf numFmtId="164" fontId="11" fillId="3" borderId="0" xfId="1" applyNumberFormat="1" applyFont="1" applyFill="1" applyBorder="1" applyAlignment="1">
      <alignment horizontal="left" vertical="center"/>
    </xf>
    <xf numFmtId="0" fontId="21" fillId="0" borderId="0" xfId="0" applyFont="1" applyBorder="1" applyAlignment="1">
      <alignment vertical="center"/>
    </xf>
    <xf numFmtId="164" fontId="18" fillId="0" borderId="0" xfId="1" applyNumberFormat="1" applyFont="1" applyFill="1" applyBorder="1" applyAlignment="1">
      <alignment horizontal="left" vertical="top" wrapText="1"/>
    </xf>
    <xf numFmtId="0" fontId="3" fillId="3" borderId="0" xfId="0" applyFont="1" applyFill="1" applyBorder="1" applyAlignment="1">
      <alignment vertical="center" wrapText="1"/>
    </xf>
    <xf numFmtId="164" fontId="4" fillId="3" borderId="0" xfId="0" applyNumberFormat="1" applyFont="1" applyFill="1" applyBorder="1" applyAlignment="1">
      <alignment horizontal="center" vertical="center"/>
    </xf>
    <xf numFmtId="0" fontId="4" fillId="3" borderId="0" xfId="0" applyFont="1" applyFill="1" applyBorder="1" applyAlignment="1">
      <alignment horizontal="left" vertical="center"/>
    </xf>
    <xf numFmtId="0" fontId="0" fillId="0" borderId="0" xfId="0" applyFont="1" applyBorder="1" applyAlignment="1">
      <alignment vertical="center" wrapText="1"/>
    </xf>
    <xf numFmtId="164" fontId="4" fillId="3" borderId="0" xfId="0" applyNumberFormat="1" applyFont="1" applyFill="1" applyBorder="1" applyAlignment="1">
      <alignment horizontal="left" vertical="center"/>
    </xf>
    <xf numFmtId="0" fontId="2" fillId="0" borderId="0" xfId="0" applyFont="1" applyFill="1" applyBorder="1" applyAlignment="1">
      <alignment vertical="center" wrapText="1"/>
    </xf>
    <xf numFmtId="164" fontId="0" fillId="7" borderId="0" xfId="1" applyNumberFormat="1" applyFont="1" applyFill="1" applyBorder="1" applyAlignment="1">
      <alignment horizontal="left" vertical="center"/>
    </xf>
    <xf numFmtId="0" fontId="0" fillId="7" borderId="0" xfId="0" applyFont="1" applyFill="1" applyBorder="1" applyAlignment="1">
      <alignment vertical="center"/>
    </xf>
    <xf numFmtId="164" fontId="0" fillId="7" borderId="0" xfId="1" applyNumberFormat="1" applyFont="1" applyFill="1" applyBorder="1" applyAlignment="1">
      <alignment horizontal="center" vertical="center"/>
    </xf>
    <xf numFmtId="164" fontId="0" fillId="7" borderId="0" xfId="0" applyNumberFormat="1" applyFont="1" applyFill="1" applyBorder="1" applyAlignment="1">
      <alignment vertical="center" wrapText="1"/>
    </xf>
    <xf numFmtId="164" fontId="0" fillId="0" borderId="0" xfId="0" applyNumberFormat="1" applyFont="1" applyBorder="1" applyAlignment="1">
      <alignment horizontal="left" vertical="center"/>
    </xf>
    <xf numFmtId="0" fontId="18" fillId="0" borderId="0" xfId="0" applyFont="1" applyBorder="1" applyAlignment="1">
      <alignment horizontal="center" vertical="center"/>
    </xf>
    <xf numFmtId="0" fontId="18" fillId="0" borderId="0" xfId="0" applyFont="1" applyBorder="1" applyAlignment="1">
      <alignment vertical="center"/>
    </xf>
    <xf numFmtId="165" fontId="18" fillId="0" borderId="0" xfId="0" applyNumberFormat="1" applyFont="1" applyBorder="1" applyAlignment="1">
      <alignment horizontal="center" vertical="center"/>
    </xf>
    <xf numFmtId="164" fontId="18" fillId="0" borderId="0" xfId="1" applyNumberFormat="1" applyFont="1" applyBorder="1" applyAlignment="1">
      <alignment horizontal="center" vertical="center"/>
    </xf>
    <xf numFmtId="164" fontId="18" fillId="0" borderId="0" xfId="1" applyNumberFormat="1" applyFont="1" applyBorder="1" applyAlignment="1">
      <alignment horizontal="left" vertical="center"/>
    </xf>
    <xf numFmtId="164" fontId="18" fillId="0" borderId="0" xfId="0" applyNumberFormat="1" applyFont="1" applyBorder="1" applyAlignment="1">
      <alignment vertical="center"/>
    </xf>
    <xf numFmtId="0" fontId="22" fillId="3" borderId="0" xfId="0" applyFont="1" applyFill="1" applyBorder="1" applyAlignment="1">
      <alignment horizontal="left" vertical="center"/>
    </xf>
    <xf numFmtId="0" fontId="23" fillId="3" borderId="0" xfId="0" applyFont="1" applyFill="1" applyBorder="1" applyAlignment="1">
      <alignment vertical="center"/>
    </xf>
    <xf numFmtId="0" fontId="23" fillId="3" borderId="0" xfId="0" applyFont="1" applyFill="1" applyBorder="1" applyAlignment="1">
      <alignment horizontal="center" vertical="center"/>
    </xf>
    <xf numFmtId="0" fontId="22" fillId="3" borderId="0" xfId="0" applyFont="1" applyFill="1" applyBorder="1" applyAlignment="1">
      <alignment horizontal="center" vertical="center"/>
    </xf>
    <xf numFmtId="0" fontId="23" fillId="3" borderId="0" xfId="0" applyFont="1" applyFill="1" applyBorder="1" applyAlignment="1">
      <alignment horizontal="left" vertical="center"/>
    </xf>
    <xf numFmtId="0" fontId="23" fillId="0" borderId="0" xfId="0" applyFont="1" applyFill="1" applyBorder="1" applyAlignment="1">
      <alignment vertical="center"/>
    </xf>
    <xf numFmtId="0" fontId="22" fillId="0" borderId="0" xfId="0" applyFont="1" applyBorder="1" applyAlignment="1">
      <alignment vertical="center"/>
    </xf>
    <xf numFmtId="0" fontId="0" fillId="0" borderId="0" xfId="0" applyFont="1" applyBorder="1" applyAlignment="1">
      <alignment horizontal="center" vertical="center" wrapText="1"/>
    </xf>
    <xf numFmtId="164" fontId="0" fillId="0" borderId="0" xfId="1" applyNumberFormat="1" applyFont="1" applyBorder="1" applyAlignment="1">
      <alignment horizontal="center" vertical="center" wrapText="1"/>
    </xf>
    <xf numFmtId="0" fontId="0" fillId="3" borderId="0" xfId="0" applyFont="1" applyFill="1" applyBorder="1" applyAlignment="1">
      <alignment horizontal="center" vertical="center" wrapText="1"/>
    </xf>
    <xf numFmtId="164" fontId="0" fillId="3" borderId="0" xfId="1" applyNumberFormat="1" applyFont="1" applyFill="1" applyBorder="1" applyAlignment="1">
      <alignment horizontal="center" vertical="center" wrapText="1"/>
    </xf>
    <xf numFmtId="164" fontId="0" fillId="3" borderId="0" xfId="1" applyNumberFormat="1" applyFont="1" applyFill="1" applyBorder="1" applyAlignment="1">
      <alignment horizontal="left" vertical="center" wrapText="1"/>
    </xf>
    <xf numFmtId="0" fontId="0" fillId="0" borderId="0" xfId="0" applyFont="1" applyFill="1" applyBorder="1" applyAlignment="1">
      <alignment horizontal="center" vertical="center" wrapText="1"/>
    </xf>
    <xf numFmtId="164" fontId="0" fillId="0" borderId="0" xfId="1" applyNumberFormat="1" applyFont="1" applyFill="1" applyBorder="1" applyAlignment="1">
      <alignment horizontal="center" vertical="center" wrapText="1"/>
    </xf>
    <xf numFmtId="0" fontId="15" fillId="0" borderId="0" xfId="0" applyFont="1" applyFill="1" applyBorder="1" applyAlignment="1">
      <alignment vertical="center" wrapText="1"/>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0" fillId="3" borderId="10" xfId="0" applyFont="1" applyFill="1" applyBorder="1" applyAlignment="1">
      <alignment horizontal="center" vertical="center"/>
    </xf>
    <xf numFmtId="0" fontId="0" fillId="3" borderId="11" xfId="0" applyFont="1" applyFill="1" applyBorder="1" applyAlignment="1">
      <alignment horizontal="center" vertical="center"/>
    </xf>
    <xf numFmtId="164" fontId="0" fillId="0" borderId="10" xfId="1" applyNumberFormat="1" applyFont="1" applyBorder="1" applyAlignment="1">
      <alignment horizontal="center" vertical="center"/>
    </xf>
    <xf numFmtId="164" fontId="0" fillId="0" borderId="11" xfId="1" applyNumberFormat="1" applyFont="1" applyBorder="1" applyAlignment="1">
      <alignment horizontal="center" vertical="center"/>
    </xf>
    <xf numFmtId="164" fontId="18" fillId="0" borderId="10" xfId="1" applyNumberFormat="1" applyFont="1" applyBorder="1" applyAlignment="1">
      <alignment horizontal="center" vertical="center"/>
    </xf>
    <xf numFmtId="164" fontId="0" fillId="3" borderId="10" xfId="0" applyNumberFormat="1" applyFont="1" applyFill="1" applyBorder="1" applyAlignment="1">
      <alignment horizontal="center" vertical="center"/>
    </xf>
    <xf numFmtId="164" fontId="0" fillId="3" borderId="11" xfId="0" applyNumberFormat="1" applyFont="1" applyFill="1" applyBorder="1" applyAlignment="1">
      <alignment horizontal="center" vertical="center"/>
    </xf>
    <xf numFmtId="0" fontId="4" fillId="3" borderId="10" xfId="0" applyFont="1" applyFill="1" applyBorder="1" applyAlignment="1">
      <alignment horizontal="center" vertical="center"/>
    </xf>
    <xf numFmtId="0" fontId="4" fillId="3" borderId="11" xfId="0" applyFont="1" applyFill="1" applyBorder="1" applyAlignment="1">
      <alignment horizontal="center" vertical="center"/>
    </xf>
    <xf numFmtId="164" fontId="4" fillId="4" borderId="10" xfId="1" applyNumberFormat="1" applyFont="1" applyFill="1" applyBorder="1" applyAlignment="1">
      <alignment horizontal="center" vertical="center"/>
    </xf>
    <xf numFmtId="164" fontId="4" fillId="4" borderId="11" xfId="1" applyNumberFormat="1" applyFont="1" applyFill="1" applyBorder="1" applyAlignment="1">
      <alignment horizontal="center" vertical="center"/>
    </xf>
    <xf numFmtId="164" fontId="0" fillId="0" borderId="10" xfId="0" applyNumberFormat="1" applyFont="1" applyBorder="1" applyAlignment="1">
      <alignment vertical="center"/>
    </xf>
    <xf numFmtId="164" fontId="0" fillId="0" borderId="11" xfId="0" applyNumberFormat="1" applyFont="1" applyBorder="1" applyAlignment="1">
      <alignment vertical="center"/>
    </xf>
    <xf numFmtId="164" fontId="0" fillId="0" borderId="10" xfId="1" applyNumberFormat="1" applyFont="1" applyFill="1" applyBorder="1" applyAlignment="1">
      <alignment horizontal="center" vertical="center"/>
    </xf>
    <xf numFmtId="0" fontId="0" fillId="0" borderId="10" xfId="0" applyFont="1" applyBorder="1" applyAlignment="1">
      <alignment vertical="center"/>
    </xf>
    <xf numFmtId="0" fontId="0" fillId="0" borderId="11" xfId="0" applyFont="1" applyBorder="1" applyAlignment="1">
      <alignment vertical="center"/>
    </xf>
    <xf numFmtId="164" fontId="0" fillId="5" borderId="10" xfId="1" applyNumberFormat="1" applyFont="1" applyFill="1" applyBorder="1" applyAlignment="1">
      <alignment horizontal="center" vertical="center"/>
    </xf>
    <xf numFmtId="164" fontId="0" fillId="5" borderId="11" xfId="1" applyNumberFormat="1" applyFont="1" applyFill="1" applyBorder="1" applyAlignment="1">
      <alignment horizontal="center" vertical="center"/>
    </xf>
    <xf numFmtId="164" fontId="4" fillId="4" borderId="12" xfId="1" applyNumberFormat="1" applyFont="1" applyFill="1" applyBorder="1" applyAlignment="1">
      <alignment horizontal="center" vertical="center"/>
    </xf>
    <xf numFmtId="164" fontId="4" fillId="4" borderId="13" xfId="1" applyNumberFormat="1" applyFont="1" applyFill="1" applyBorder="1" applyAlignment="1">
      <alignment horizontal="center" vertical="center"/>
    </xf>
    <xf numFmtId="0" fontId="22" fillId="9" borderId="0" xfId="0" applyFont="1" applyFill="1" applyBorder="1" applyAlignment="1">
      <alignment horizontal="center" vertical="center"/>
    </xf>
    <xf numFmtId="0" fontId="22" fillId="9" borderId="0" xfId="0" applyFont="1" applyFill="1" applyBorder="1" applyAlignment="1">
      <alignment vertical="center" wrapText="1"/>
    </xf>
    <xf numFmtId="164" fontId="22" fillId="9" borderId="0" xfId="1" applyNumberFormat="1" applyFont="1" applyFill="1" applyBorder="1" applyAlignment="1">
      <alignment horizontal="center" vertical="center"/>
    </xf>
    <xf numFmtId="164" fontId="22" fillId="9" borderId="10" xfId="1" applyNumberFormat="1" applyFont="1" applyFill="1" applyBorder="1" applyAlignment="1">
      <alignment horizontal="center" vertical="center"/>
    </xf>
    <xf numFmtId="164" fontId="22" fillId="9" borderId="11" xfId="1" applyNumberFormat="1" applyFont="1" applyFill="1" applyBorder="1" applyAlignment="1">
      <alignment horizontal="center" vertical="center"/>
    </xf>
    <xf numFmtId="0" fontId="22" fillId="0" borderId="0" xfId="0" applyFont="1" applyBorder="1" applyAlignment="1">
      <alignment horizontal="center" vertical="center"/>
    </xf>
    <xf numFmtId="164" fontId="22" fillId="9" borderId="0" xfId="1" applyNumberFormat="1" applyFont="1" applyFill="1" applyBorder="1" applyAlignment="1">
      <alignment horizontal="left" vertical="center"/>
    </xf>
    <xf numFmtId="164" fontId="22" fillId="0" borderId="0" xfId="0" applyNumberFormat="1" applyFont="1" applyBorder="1" applyAlignment="1">
      <alignment vertical="center"/>
    </xf>
    <xf numFmtId="164" fontId="22" fillId="9" borderId="0" xfId="1" quotePrefix="1" applyNumberFormat="1" applyFont="1" applyFill="1" applyBorder="1" applyAlignment="1">
      <alignment horizontal="left" vertical="center"/>
    </xf>
    <xf numFmtId="0" fontId="22" fillId="0" borderId="0" xfId="0" applyFont="1" applyFill="1" applyBorder="1" applyAlignment="1">
      <alignment vertical="center"/>
    </xf>
    <xf numFmtId="164" fontId="22" fillId="0" borderId="0" xfId="0" applyNumberFormat="1" applyFont="1" applyFill="1" applyBorder="1" applyAlignment="1">
      <alignment vertical="center"/>
    </xf>
    <xf numFmtId="0" fontId="22" fillId="9" borderId="0" xfId="0" applyFont="1" applyFill="1" applyBorder="1" applyAlignment="1">
      <alignment vertical="center"/>
    </xf>
    <xf numFmtId="165" fontId="22" fillId="9" borderId="0" xfId="0" applyNumberFormat="1" applyFont="1" applyFill="1" applyBorder="1" applyAlignment="1">
      <alignment horizontal="center" vertical="center"/>
    </xf>
    <xf numFmtId="0" fontId="1" fillId="7" borderId="0" xfId="0" applyFont="1" applyFill="1" applyBorder="1" applyAlignment="1">
      <alignment horizontal="center" vertical="center"/>
    </xf>
    <xf numFmtId="164" fontId="20" fillId="10" borderId="8" xfId="1" applyNumberFormat="1" applyFont="1" applyFill="1" applyBorder="1" applyAlignment="1">
      <alignment horizontal="center" vertical="center"/>
    </xf>
    <xf numFmtId="164" fontId="20" fillId="10" borderId="14" xfId="1" applyNumberFormat="1" applyFont="1" applyFill="1" applyBorder="1" applyAlignment="1">
      <alignment horizontal="center" vertical="center"/>
    </xf>
    <xf numFmtId="164" fontId="20" fillId="10" borderId="9" xfId="1" applyNumberFormat="1" applyFont="1" applyFill="1" applyBorder="1" applyAlignment="1">
      <alignment horizontal="center" vertical="center"/>
    </xf>
    <xf numFmtId="0" fontId="1" fillId="0" borderId="0" xfId="0" applyFont="1" applyBorder="1" applyAlignment="1">
      <alignment vertical="center"/>
    </xf>
    <xf numFmtId="0" fontId="4" fillId="6" borderId="10" xfId="0" applyFont="1" applyFill="1" applyBorder="1" applyAlignment="1">
      <alignment horizontal="center" vertical="center"/>
    </xf>
    <xf numFmtId="164" fontId="0" fillId="6" borderId="10" xfId="1" applyNumberFormat="1" applyFont="1" applyFill="1" applyBorder="1" applyAlignment="1">
      <alignment horizontal="center" vertical="center"/>
    </xf>
    <xf numFmtId="164" fontId="0" fillId="6" borderId="11" xfId="1" applyNumberFormat="1" applyFont="1" applyFill="1" applyBorder="1" applyAlignment="1">
      <alignment horizontal="center" vertical="center"/>
    </xf>
    <xf numFmtId="0" fontId="0" fillId="7" borderId="0" xfId="0" applyFont="1" applyFill="1" applyBorder="1" applyAlignment="1">
      <alignment horizontal="center" vertical="center"/>
    </xf>
    <xf numFmtId="0" fontId="20" fillId="10" borderId="12" xfId="0" applyFont="1" applyFill="1" applyBorder="1" applyAlignment="1">
      <alignment horizontal="center" vertical="center"/>
    </xf>
    <xf numFmtId="164" fontId="20" fillId="10" borderId="15" xfId="1" applyNumberFormat="1" applyFont="1" applyFill="1" applyBorder="1" applyAlignment="1">
      <alignment horizontal="center" vertical="center"/>
    </xf>
    <xf numFmtId="164" fontId="20" fillId="10" borderId="12" xfId="1" applyNumberFormat="1" applyFont="1" applyFill="1" applyBorder="1" applyAlignment="1">
      <alignment horizontal="center" vertical="center"/>
    </xf>
    <xf numFmtId="164" fontId="20" fillId="10" borderId="13" xfId="1" applyNumberFormat="1" applyFont="1" applyFill="1" applyBorder="1" applyAlignment="1">
      <alignment horizontal="center" vertical="center"/>
    </xf>
    <xf numFmtId="0" fontId="10" fillId="7" borderId="0" xfId="0" applyFont="1" applyFill="1" applyBorder="1" applyAlignment="1">
      <alignment horizontal="center" vertical="center"/>
    </xf>
    <xf numFmtId="0" fontId="10" fillId="0" borderId="0" xfId="0" applyFont="1" applyBorder="1" applyAlignment="1">
      <alignment vertical="center"/>
    </xf>
    <xf numFmtId="164" fontId="10" fillId="0" borderId="0" xfId="0" applyNumberFormat="1" applyFont="1" applyBorder="1" applyAlignment="1">
      <alignment vertical="center"/>
    </xf>
    <xf numFmtId="0" fontId="4" fillId="4" borderId="0" xfId="0" applyFont="1" applyFill="1" applyBorder="1" applyAlignment="1">
      <alignment horizontal="left" vertical="center"/>
    </xf>
    <xf numFmtId="164" fontId="17" fillId="3" borderId="3" xfId="1" applyNumberFormat="1" applyFont="1" applyFill="1" applyBorder="1" applyAlignment="1">
      <alignment horizontal="center" vertical="center"/>
    </xf>
    <xf numFmtId="164" fontId="17" fillId="3" borderId="1" xfId="1" applyNumberFormat="1" applyFont="1" applyFill="1" applyBorder="1" applyAlignment="1">
      <alignment horizontal="center" vertical="center"/>
    </xf>
    <xf numFmtId="0" fontId="9" fillId="2" borderId="0" xfId="0" applyFont="1" applyFill="1" applyBorder="1" applyAlignment="1">
      <alignment horizontal="center" vertical="center"/>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0" fillId="3" borderId="3" xfId="0" applyFont="1" applyFill="1" applyBorder="1" applyAlignment="1">
      <alignment horizontal="left" vertical="center" wrapText="1"/>
    </xf>
    <xf numFmtId="0" fontId="0" fillId="3" borderId="3" xfId="0" applyFont="1" applyFill="1" applyBorder="1" applyAlignment="1">
      <alignment horizontal="left" vertical="center"/>
    </xf>
    <xf numFmtId="0" fontId="0" fillId="3" borderId="1" xfId="0" applyFont="1" applyFill="1" applyBorder="1" applyAlignment="1">
      <alignment horizontal="left" vertical="center"/>
    </xf>
    <xf numFmtId="0" fontId="4" fillId="3" borderId="3" xfId="0" applyFont="1" applyFill="1" applyBorder="1" applyAlignment="1">
      <alignment horizontal="center" vertical="center"/>
    </xf>
    <xf numFmtId="0" fontId="4" fillId="3" borderId="1" xfId="0" applyFont="1" applyFill="1" applyBorder="1" applyAlignment="1">
      <alignment horizontal="center" vertical="center"/>
    </xf>
    <xf numFmtId="0" fontId="11" fillId="0" borderId="2" xfId="0" applyFont="1" applyFill="1" applyBorder="1" applyAlignment="1">
      <alignment horizontal="left" vertical="center"/>
    </xf>
    <xf numFmtId="0" fontId="11" fillId="0" borderId="3" xfId="0" applyFont="1" applyFill="1" applyBorder="1" applyAlignment="1">
      <alignment horizontal="left" vertical="center"/>
    </xf>
    <xf numFmtId="164" fontId="4" fillId="3" borderId="3" xfId="1" applyNumberFormat="1" applyFont="1" applyFill="1" applyBorder="1" applyAlignment="1">
      <alignment horizontal="center" vertical="center"/>
    </xf>
    <xf numFmtId="164" fontId="4" fillId="3" borderId="1" xfId="1" applyNumberFormat="1" applyFont="1" applyFill="1" applyBorder="1" applyAlignment="1">
      <alignment horizontal="center" vertical="center"/>
    </xf>
    <xf numFmtId="0" fontId="20" fillId="10" borderId="15" xfId="0" applyFont="1" applyFill="1" applyBorder="1" applyAlignment="1">
      <alignment horizontal="left" vertical="center"/>
    </xf>
    <xf numFmtId="0" fontId="0" fillId="6" borderId="0" xfId="0" applyFont="1" applyFill="1" applyBorder="1" applyAlignment="1">
      <alignment horizontal="left" vertical="center"/>
    </xf>
    <xf numFmtId="0" fontId="0" fillId="8" borderId="0" xfId="0" applyFont="1" applyFill="1" applyBorder="1" applyAlignment="1">
      <alignment horizontal="left" vertical="center" wrapText="1"/>
    </xf>
    <xf numFmtId="0" fontId="9" fillId="2" borderId="8" xfId="0" applyFont="1" applyFill="1" applyBorder="1" applyAlignment="1">
      <alignment horizontal="center" vertical="center"/>
    </xf>
    <xf numFmtId="0" fontId="9" fillId="2" borderId="9" xfId="0" applyFont="1" applyFill="1" applyBorder="1" applyAlignment="1">
      <alignment horizontal="center" vertical="center"/>
    </xf>
    <xf numFmtId="0" fontId="9" fillId="2" borderId="10" xfId="0" applyFont="1" applyFill="1" applyBorder="1" applyAlignment="1">
      <alignment horizontal="center" vertical="center"/>
    </xf>
    <xf numFmtId="0" fontId="9" fillId="2" borderId="11" xfId="0" applyFont="1" applyFill="1" applyBorder="1" applyAlignment="1">
      <alignment horizontal="center" vertical="center"/>
    </xf>
    <xf numFmtId="0" fontId="20" fillId="10" borderId="8" xfId="0" applyFont="1" applyFill="1" applyBorder="1" applyAlignment="1">
      <alignment horizontal="center" vertical="center"/>
    </xf>
    <xf numFmtId="0" fontId="20" fillId="10" borderId="14" xfId="0" applyFont="1" applyFill="1" applyBorder="1" applyAlignment="1">
      <alignment horizontal="center" vertical="center"/>
    </xf>
    <xf numFmtId="0" fontId="20" fillId="10" borderId="9" xfId="0" applyFont="1" applyFill="1" applyBorder="1" applyAlignment="1">
      <alignment horizontal="center" vertical="center"/>
    </xf>
    <xf numFmtId="0" fontId="4" fillId="4" borderId="0" xfId="0" applyFont="1" applyFill="1" applyBorder="1" applyAlignment="1">
      <alignment horizontal="center" vertical="center"/>
    </xf>
    <xf numFmtId="0" fontId="0" fillId="0" borderId="0" xfId="0" applyFont="1" applyBorder="1" applyAlignment="1">
      <alignment horizontal="center" vertical="center"/>
    </xf>
    <xf numFmtId="0" fontId="0" fillId="5" borderId="0" xfId="0" applyFont="1" applyFill="1" applyBorder="1" applyAlignment="1">
      <alignment horizontal="center" vertical="center"/>
    </xf>
    <xf numFmtId="0" fontId="0" fillId="3" borderId="4" xfId="0" applyFont="1" applyFill="1" applyBorder="1" applyAlignment="1">
      <alignment horizontal="left" vertical="center" wrapText="1"/>
    </xf>
    <xf numFmtId="0" fontId="0" fillId="3" borderId="5" xfId="0" applyFont="1" applyFill="1" applyBorder="1" applyAlignment="1">
      <alignment horizontal="left" vertical="center" wrapText="1"/>
    </xf>
    <xf numFmtId="0" fontId="0" fillId="3" borderId="6" xfId="0" applyFont="1" applyFill="1" applyBorder="1" applyAlignment="1">
      <alignment horizontal="left" vertical="center" wrapText="1"/>
    </xf>
    <xf numFmtId="0" fontId="6" fillId="3" borderId="4" xfId="0" applyFont="1" applyFill="1" applyBorder="1" applyAlignment="1">
      <alignment horizontal="left" vertical="center"/>
    </xf>
    <xf numFmtId="0" fontId="6" fillId="3" borderId="5" xfId="0" applyFont="1" applyFill="1" applyBorder="1" applyAlignment="1">
      <alignment horizontal="left" vertical="center"/>
    </xf>
    <xf numFmtId="0" fontId="6" fillId="3" borderId="6" xfId="0" applyFont="1" applyFill="1" applyBorder="1" applyAlignment="1">
      <alignment horizontal="left" vertical="center"/>
    </xf>
  </cellXfs>
  <cellStyles count="2">
    <cellStyle name="Millares" xfId="1" builtinId="3"/>
    <cellStyle name="Normal" xfId="0" builtinId="0"/>
  </cellStyles>
  <dxfs count="0"/>
  <tableStyles count="0" defaultTableStyle="TableStyleMedium2" defaultPivotStyle="PivotStyleLight16"/>
  <colors>
    <mruColors>
      <color rgb="FFECEADC"/>
      <color rgb="FFFFF13B"/>
      <color rgb="FFC7C09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694765</xdr:colOff>
      <xdr:row>0</xdr:row>
      <xdr:rowOff>51867</xdr:rowOff>
    </xdr:from>
    <xdr:to>
      <xdr:col>7</xdr:col>
      <xdr:colOff>974751</xdr:colOff>
      <xdr:row>2</xdr:row>
      <xdr:rowOff>190500</xdr:rowOff>
    </xdr:to>
    <xdr:pic>
      <xdr:nvPicPr>
        <xdr:cNvPr id="2" name="Imagen 1">
          <a:extLst>
            <a:ext uri="{FF2B5EF4-FFF2-40B4-BE49-F238E27FC236}">
              <a16:creationId xmlns:a16="http://schemas.microsoft.com/office/drawing/2014/main" id="{9436C12B-7AD7-4D52-A83F-B7A9FD4136D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71490" y="51867"/>
          <a:ext cx="3223211" cy="691083"/>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22412</xdr:colOff>
      <xdr:row>0</xdr:row>
      <xdr:rowOff>78441</xdr:rowOff>
    </xdr:from>
    <xdr:to>
      <xdr:col>13</xdr:col>
      <xdr:colOff>515470</xdr:colOff>
      <xdr:row>2</xdr:row>
      <xdr:rowOff>217074</xdr:rowOff>
    </xdr:to>
    <xdr:pic>
      <xdr:nvPicPr>
        <xdr:cNvPr id="2" name="Imagen 1">
          <a:extLst>
            <a:ext uri="{FF2B5EF4-FFF2-40B4-BE49-F238E27FC236}">
              <a16:creationId xmlns:a16="http://schemas.microsoft.com/office/drawing/2014/main" id="{76827791-CC04-4CD9-8BD9-027B32ECC35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471647" y="78441"/>
          <a:ext cx="3451411" cy="687721"/>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201707</xdr:colOff>
      <xdr:row>0</xdr:row>
      <xdr:rowOff>89647</xdr:rowOff>
    </xdr:from>
    <xdr:to>
      <xdr:col>5</xdr:col>
      <xdr:colOff>1829922</xdr:colOff>
      <xdr:row>3</xdr:row>
      <xdr:rowOff>104775</xdr:rowOff>
    </xdr:to>
    <xdr:pic>
      <xdr:nvPicPr>
        <xdr:cNvPr id="2" name="Imagen 1">
          <a:extLst>
            <a:ext uri="{FF2B5EF4-FFF2-40B4-BE49-F238E27FC236}">
              <a16:creationId xmlns:a16="http://schemas.microsoft.com/office/drawing/2014/main" id="{18906B9F-AA1A-4E4D-BF74-E2B156B6C4D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450107" y="89647"/>
          <a:ext cx="2790265" cy="634253"/>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48"/>
  <sheetViews>
    <sheetView tabSelected="1" zoomScale="85" zoomScaleNormal="85" zoomScalePageLayoutView="85" workbookViewId="0">
      <pane ySplit="3" topLeftCell="A4" activePane="bottomLeft" state="frozen"/>
      <selection pane="bottomLeft" activeCell="A7" sqref="A7:B7"/>
    </sheetView>
  </sheetViews>
  <sheetFormatPr baseColWidth="10" defaultColWidth="10.85546875" defaultRowHeight="15" x14ac:dyDescent="0.25"/>
  <cols>
    <col min="1" max="1" width="10.140625" style="9" customWidth="1"/>
    <col min="2" max="2" width="39.28515625" style="9" customWidth="1"/>
    <col min="3" max="8" width="14.7109375" style="9" customWidth="1"/>
    <col min="9" max="9" width="47.28515625" style="66" customWidth="1"/>
    <col min="10" max="10" width="19.42578125" style="37" hidden="1" customWidth="1"/>
    <col min="11" max="16384" width="10.85546875" style="9"/>
  </cols>
  <sheetData>
    <row r="1" spans="1:11" ht="28.5" x14ac:dyDescent="0.25">
      <c r="A1" s="26" t="s">
        <v>52</v>
      </c>
      <c r="B1" s="4"/>
      <c r="C1" s="5"/>
      <c r="D1" s="5"/>
      <c r="E1" s="5"/>
      <c r="G1" s="10"/>
      <c r="H1" s="10"/>
    </row>
    <row r="2" spans="1:11" x14ac:dyDescent="0.25">
      <c r="A2" s="1"/>
      <c r="B2" s="7"/>
      <c r="C2" s="5"/>
      <c r="D2" s="5"/>
      <c r="E2" s="5"/>
      <c r="G2" s="10"/>
      <c r="H2" s="10"/>
    </row>
    <row r="3" spans="1:11" ht="18.75" x14ac:dyDescent="0.25">
      <c r="A3" s="27" t="s">
        <v>51</v>
      </c>
      <c r="B3" s="4"/>
      <c r="G3" s="10"/>
      <c r="H3" s="10"/>
    </row>
    <row r="4" spans="1:11" x14ac:dyDescent="0.25">
      <c r="A4" s="1"/>
      <c r="B4" s="4"/>
      <c r="G4" s="10"/>
      <c r="H4" s="10"/>
    </row>
    <row r="5" spans="1:11" ht="18.75" customHeight="1" x14ac:dyDescent="0.25">
      <c r="A5" s="194" t="s">
        <v>33</v>
      </c>
      <c r="B5" s="194"/>
      <c r="C5" s="194"/>
      <c r="D5" s="194"/>
      <c r="E5" s="194"/>
      <c r="F5" s="194"/>
      <c r="G5" s="194"/>
      <c r="H5" s="194"/>
      <c r="J5" s="38"/>
      <c r="K5" s="2"/>
    </row>
    <row r="6" spans="1:11" ht="18.75" customHeight="1" thickBot="1" x14ac:dyDescent="0.3">
      <c r="A6" s="14"/>
      <c r="B6" s="14"/>
      <c r="C6" s="14"/>
      <c r="D6" s="14"/>
      <c r="E6" s="14"/>
      <c r="F6" s="14"/>
      <c r="G6" s="14"/>
      <c r="H6" s="14"/>
      <c r="I6" s="67"/>
      <c r="J6" s="38" t="s">
        <v>62</v>
      </c>
      <c r="K6" s="2"/>
    </row>
    <row r="7" spans="1:11" ht="55.5" customHeight="1" thickBot="1" x14ac:dyDescent="0.3">
      <c r="A7" s="195" t="s">
        <v>238</v>
      </c>
      <c r="B7" s="196"/>
      <c r="C7" s="197" t="s">
        <v>160</v>
      </c>
      <c r="D7" s="197"/>
      <c r="E7" s="198"/>
      <c r="F7" s="198"/>
      <c r="G7" s="198"/>
      <c r="H7" s="199"/>
      <c r="I7" s="73"/>
      <c r="J7" s="38" t="s">
        <v>58</v>
      </c>
    </row>
    <row r="8" spans="1:11" ht="18" customHeight="1" thickBot="1" x14ac:dyDescent="0.3">
      <c r="A8" s="195" t="s">
        <v>44</v>
      </c>
      <c r="B8" s="196"/>
      <c r="C8" s="198" t="s">
        <v>115</v>
      </c>
      <c r="D8" s="198"/>
      <c r="E8" s="198"/>
      <c r="F8" s="198"/>
      <c r="G8" s="198"/>
      <c r="H8" s="199"/>
      <c r="J8" s="38" t="s">
        <v>64</v>
      </c>
    </row>
    <row r="9" spans="1:11" ht="18" customHeight="1" thickBot="1" x14ac:dyDescent="0.3">
      <c r="A9" s="47" t="s">
        <v>45</v>
      </c>
      <c r="B9" s="48"/>
      <c r="C9" s="16"/>
      <c r="D9" s="16"/>
      <c r="E9" s="47" t="s">
        <v>32</v>
      </c>
      <c r="F9" s="17" t="s">
        <v>116</v>
      </c>
      <c r="G9" s="17"/>
      <c r="H9" s="18"/>
      <c r="J9" s="38" t="s">
        <v>63</v>
      </c>
    </row>
    <row r="10" spans="1:11" ht="18" customHeight="1" thickBot="1" x14ac:dyDescent="0.3">
      <c r="A10" s="15"/>
      <c r="B10" s="15"/>
      <c r="E10" s="7"/>
      <c r="F10" s="7"/>
      <c r="G10" s="7"/>
      <c r="H10" s="7"/>
      <c r="J10" s="38" t="s">
        <v>67</v>
      </c>
      <c r="K10" s="2"/>
    </row>
    <row r="11" spans="1:11" ht="16.5" thickBot="1" x14ac:dyDescent="0.3">
      <c r="A11" s="195" t="s">
        <v>35</v>
      </c>
      <c r="B11" s="196"/>
      <c r="C11" s="196"/>
      <c r="D11" s="196"/>
      <c r="E11" s="196"/>
      <c r="F11" s="196"/>
      <c r="G11" s="200" t="s">
        <v>63</v>
      </c>
      <c r="H11" s="201"/>
      <c r="J11" s="38" t="s">
        <v>60</v>
      </c>
    </row>
    <row r="12" spans="1:11" s="3" customFormat="1" ht="16.5" thickBot="1" x14ac:dyDescent="0.3">
      <c r="A12" s="202" t="s">
        <v>34</v>
      </c>
      <c r="B12" s="203"/>
      <c r="C12" s="192">
        <v>85000</v>
      </c>
      <c r="D12" s="193"/>
      <c r="E12" s="202" t="s">
        <v>46</v>
      </c>
      <c r="F12" s="203"/>
      <c r="G12" s="204"/>
      <c r="H12" s="205"/>
      <c r="I12" s="68"/>
      <c r="J12" s="39" t="s">
        <v>61</v>
      </c>
    </row>
    <row r="13" spans="1:11" x14ac:dyDescent="0.25">
      <c r="A13" s="13"/>
      <c r="B13" s="13"/>
      <c r="C13" s="12"/>
      <c r="D13" s="12"/>
      <c r="E13" s="12"/>
      <c r="F13" s="12"/>
      <c r="G13" s="12"/>
      <c r="H13" s="12"/>
      <c r="I13" s="12"/>
      <c r="J13" s="40" t="s">
        <v>59</v>
      </c>
      <c r="K13" s="3"/>
    </row>
    <row r="14" spans="1:11" ht="18.75" x14ac:dyDescent="0.25">
      <c r="A14" s="194" t="s">
        <v>4</v>
      </c>
      <c r="B14" s="194"/>
      <c r="C14" s="194"/>
      <c r="D14" s="194"/>
      <c r="E14" s="194"/>
      <c r="F14" s="194"/>
      <c r="G14" s="194" t="s">
        <v>30</v>
      </c>
      <c r="H14" s="194"/>
      <c r="I14" s="69" t="s">
        <v>100</v>
      </c>
    </row>
    <row r="15" spans="1:11" x14ac:dyDescent="0.25">
      <c r="A15" s="6" t="s">
        <v>8</v>
      </c>
      <c r="B15" s="6" t="s">
        <v>2</v>
      </c>
      <c r="C15" s="6" t="s">
        <v>47</v>
      </c>
      <c r="D15" s="6" t="s">
        <v>3</v>
      </c>
      <c r="E15" s="6" t="s">
        <v>36</v>
      </c>
      <c r="F15" s="6" t="s">
        <v>1</v>
      </c>
      <c r="G15" s="19" t="s">
        <v>43</v>
      </c>
      <c r="H15" s="19" t="s">
        <v>50</v>
      </c>
      <c r="I15" s="70"/>
    </row>
    <row r="16" spans="1:11" x14ac:dyDescent="0.25">
      <c r="A16" s="10" t="s">
        <v>13</v>
      </c>
      <c r="B16" s="9" t="s">
        <v>163</v>
      </c>
      <c r="C16" s="46">
        <v>1</v>
      </c>
      <c r="D16" s="87" t="s">
        <v>145</v>
      </c>
      <c r="E16" s="32">
        <v>6000</v>
      </c>
      <c r="F16" s="32">
        <f t="shared" ref="F16:F19" si="0">C16*E16</f>
        <v>6000</v>
      </c>
      <c r="G16" s="24">
        <v>10</v>
      </c>
      <c r="H16" s="30">
        <f t="shared" ref="H16" si="1">1/G16*F16</f>
        <v>600</v>
      </c>
      <c r="I16" s="54" t="s">
        <v>117</v>
      </c>
    </row>
    <row r="17" spans="1:10" x14ac:dyDescent="0.25">
      <c r="A17" s="85" t="s">
        <v>14</v>
      </c>
      <c r="B17" s="9" t="s">
        <v>164</v>
      </c>
      <c r="C17" s="46">
        <v>1</v>
      </c>
      <c r="D17" s="87" t="s">
        <v>145</v>
      </c>
      <c r="E17" s="64">
        <v>2500</v>
      </c>
      <c r="F17" s="32">
        <f t="shared" si="0"/>
        <v>2500</v>
      </c>
      <c r="G17" s="24">
        <v>10</v>
      </c>
      <c r="H17" s="30">
        <f t="shared" ref="H17:H18" si="2">1/G17*F17</f>
        <v>250</v>
      </c>
      <c r="I17" s="54" t="s">
        <v>121</v>
      </c>
    </row>
    <row r="18" spans="1:10" ht="14.45" customHeight="1" x14ac:dyDescent="0.25">
      <c r="A18" s="85" t="s">
        <v>15</v>
      </c>
      <c r="B18" s="9" t="s">
        <v>119</v>
      </c>
      <c r="C18" s="50">
        <v>2</v>
      </c>
      <c r="D18" s="50" t="s">
        <v>195</v>
      </c>
      <c r="E18" s="64">
        <v>1000</v>
      </c>
      <c r="F18" s="32">
        <f t="shared" si="0"/>
        <v>2000</v>
      </c>
      <c r="G18" s="24">
        <v>10</v>
      </c>
      <c r="H18" s="30">
        <f t="shared" si="2"/>
        <v>200</v>
      </c>
      <c r="I18" s="54"/>
    </row>
    <row r="19" spans="1:10" s="11" customFormat="1" ht="30" x14ac:dyDescent="0.25">
      <c r="A19" s="85" t="s">
        <v>162</v>
      </c>
      <c r="B19" s="88" t="s">
        <v>161</v>
      </c>
      <c r="C19" s="50">
        <v>1</v>
      </c>
      <c r="D19" s="50" t="s">
        <v>145</v>
      </c>
      <c r="E19" s="64">
        <f>2000</f>
        <v>2000</v>
      </c>
      <c r="F19" s="64">
        <f t="shared" si="0"/>
        <v>2000</v>
      </c>
      <c r="G19" s="24"/>
      <c r="H19" s="30"/>
      <c r="I19" s="54"/>
      <c r="J19" s="89"/>
    </row>
    <row r="20" spans="1:10" x14ac:dyDescent="0.25">
      <c r="A20" s="71"/>
      <c r="C20" s="10"/>
      <c r="D20" s="87"/>
      <c r="E20" s="32"/>
      <c r="F20" s="32"/>
      <c r="G20" s="76"/>
      <c r="H20" s="77"/>
      <c r="I20" s="78"/>
    </row>
    <row r="21" spans="1:10" s="7" customFormat="1" x14ac:dyDescent="0.25">
      <c r="A21" s="25" t="s">
        <v>9</v>
      </c>
      <c r="B21" s="191" t="s">
        <v>0</v>
      </c>
      <c r="C21" s="191"/>
      <c r="D21" s="191"/>
      <c r="E21" s="191"/>
      <c r="F21" s="31">
        <f>SUM(F16:F20)</f>
        <v>12500</v>
      </c>
      <c r="G21" s="20"/>
      <c r="H21" s="31">
        <f>SUM(H16:H20)</f>
        <v>1050</v>
      </c>
      <c r="I21" s="55"/>
      <c r="J21" s="39"/>
    </row>
    <row r="22" spans="1:10" x14ac:dyDescent="0.25">
      <c r="A22" s="7"/>
    </row>
    <row r="23" spans="1:10" s="131" customFormat="1" x14ac:dyDescent="0.25">
      <c r="A23" s="125"/>
      <c r="B23" s="126" t="s">
        <v>193</v>
      </c>
      <c r="C23" s="127"/>
      <c r="D23" s="127"/>
      <c r="E23" s="128"/>
      <c r="F23" s="128"/>
      <c r="G23" s="127"/>
      <c r="H23" s="127"/>
      <c r="I23" s="129"/>
      <c r="J23" s="130"/>
    </row>
    <row r="24" spans="1:10" s="111" customFormat="1" ht="14.45" customHeight="1" x14ac:dyDescent="0.25">
      <c r="A24" s="132" t="s">
        <v>13</v>
      </c>
      <c r="B24" s="111" t="s">
        <v>194</v>
      </c>
      <c r="C24" s="132">
        <v>1</v>
      </c>
      <c r="D24" s="132" t="s">
        <v>195</v>
      </c>
      <c r="E24" s="133">
        <v>3500</v>
      </c>
      <c r="F24" s="133">
        <f>C24*E24</f>
        <v>3500</v>
      </c>
      <c r="G24" s="134">
        <v>10</v>
      </c>
      <c r="H24" s="135">
        <f>1/G24*F24</f>
        <v>350</v>
      </c>
      <c r="I24" s="136"/>
      <c r="J24" s="38"/>
    </row>
    <row r="25" spans="1:10" s="111" customFormat="1" ht="14.45" customHeight="1" x14ac:dyDescent="0.25">
      <c r="A25" s="132" t="s">
        <v>14</v>
      </c>
      <c r="B25" s="111" t="s">
        <v>196</v>
      </c>
      <c r="C25" s="132">
        <v>1</v>
      </c>
      <c r="D25" s="137" t="s">
        <v>145</v>
      </c>
      <c r="E25" s="133">
        <v>3000</v>
      </c>
      <c r="F25" s="133">
        <f>C25*E25</f>
        <v>3000</v>
      </c>
      <c r="G25" s="134">
        <v>10</v>
      </c>
      <c r="H25" s="135">
        <f>1/G25*F25</f>
        <v>300</v>
      </c>
      <c r="I25" s="136" t="s">
        <v>197</v>
      </c>
      <c r="J25" s="38"/>
    </row>
    <row r="26" spans="1:10" s="111" customFormat="1" ht="30" x14ac:dyDescent="0.25">
      <c r="A26" s="132" t="s">
        <v>15</v>
      </c>
      <c r="B26" s="111" t="s">
        <v>198</v>
      </c>
      <c r="C26" s="132">
        <v>1</v>
      </c>
      <c r="D26" s="132" t="s">
        <v>195</v>
      </c>
      <c r="E26" s="133">
        <v>54000</v>
      </c>
      <c r="F26" s="133">
        <f t="shared" ref="F26" si="3">C26*E26</f>
        <v>54000</v>
      </c>
      <c r="G26" s="134">
        <v>5</v>
      </c>
      <c r="H26" s="135">
        <f t="shared" ref="H26:H29" si="4">1/G26*F26</f>
        <v>10800</v>
      </c>
      <c r="I26" s="136" t="s">
        <v>199</v>
      </c>
      <c r="J26" s="38"/>
    </row>
    <row r="27" spans="1:10" s="101" customFormat="1" x14ac:dyDescent="0.25">
      <c r="A27" s="132" t="s">
        <v>15</v>
      </c>
      <c r="B27" s="88" t="s">
        <v>200</v>
      </c>
      <c r="C27" s="137">
        <v>1</v>
      </c>
      <c r="D27" s="132" t="s">
        <v>195</v>
      </c>
      <c r="E27" s="138">
        <v>6000</v>
      </c>
      <c r="F27" s="133">
        <f>C27*E27</f>
        <v>6000</v>
      </c>
      <c r="G27" s="134">
        <v>10</v>
      </c>
      <c r="H27" s="135">
        <f t="shared" si="4"/>
        <v>600</v>
      </c>
      <c r="I27" s="136"/>
      <c r="J27" s="139"/>
    </row>
    <row r="28" spans="1:10" s="111" customFormat="1" x14ac:dyDescent="0.25">
      <c r="A28" s="132" t="s">
        <v>162</v>
      </c>
      <c r="B28" s="111" t="s">
        <v>201</v>
      </c>
      <c r="C28" s="132">
        <v>1</v>
      </c>
      <c r="D28" s="132" t="s">
        <v>195</v>
      </c>
      <c r="E28" s="133">
        <v>3000</v>
      </c>
      <c r="F28" s="133">
        <f>C28*E28</f>
        <v>3000</v>
      </c>
      <c r="G28" s="134">
        <v>10</v>
      </c>
      <c r="H28" s="135">
        <f t="shared" si="4"/>
        <v>300</v>
      </c>
      <c r="I28" s="136"/>
      <c r="J28" s="38"/>
    </row>
    <row r="29" spans="1:10" s="111" customFormat="1" x14ac:dyDescent="0.25">
      <c r="A29" s="132" t="s">
        <v>202</v>
      </c>
      <c r="B29" s="111" t="s">
        <v>203</v>
      </c>
      <c r="C29" s="132">
        <v>1</v>
      </c>
      <c r="D29" s="132" t="s">
        <v>145</v>
      </c>
      <c r="E29" s="133">
        <v>5000</v>
      </c>
      <c r="F29" s="133">
        <f>C29*E29</f>
        <v>5000</v>
      </c>
      <c r="G29" s="134">
        <v>10</v>
      </c>
      <c r="H29" s="135">
        <f t="shared" si="4"/>
        <v>500</v>
      </c>
      <c r="I29" s="136" t="s">
        <v>204</v>
      </c>
      <c r="J29" s="38"/>
    </row>
    <row r="30" spans="1:10" x14ac:dyDescent="0.25">
      <c r="A30" s="3"/>
      <c r="B30" s="3"/>
      <c r="C30" s="3"/>
      <c r="D30" s="3"/>
      <c r="E30" s="3"/>
      <c r="F30" s="3"/>
      <c r="G30" s="3"/>
      <c r="H30" s="3"/>
      <c r="I30" s="68"/>
    </row>
    <row r="31" spans="1:10" s="7" customFormat="1" x14ac:dyDescent="0.25">
      <c r="A31" s="86" t="s">
        <v>9</v>
      </c>
      <c r="B31" s="191" t="s">
        <v>205</v>
      </c>
      <c r="C31" s="191"/>
      <c r="D31" s="191"/>
      <c r="E31" s="191"/>
      <c r="F31" s="31">
        <f>SUM(F24:F30)</f>
        <v>74500</v>
      </c>
      <c r="G31" s="20"/>
      <c r="H31" s="31">
        <f>SUM(H24:H30)</f>
        <v>12850</v>
      </c>
      <c r="I31" s="55"/>
      <c r="J31" s="39"/>
    </row>
    <row r="43" spans="1:2" x14ac:dyDescent="0.25">
      <c r="A43" s="11"/>
      <c r="B43" s="11"/>
    </row>
    <row r="44" spans="1:2" x14ac:dyDescent="0.25">
      <c r="A44" s="11"/>
      <c r="B44" s="11"/>
    </row>
    <row r="45" spans="1:2" x14ac:dyDescent="0.25">
      <c r="A45" s="11"/>
      <c r="B45" s="11"/>
    </row>
    <row r="46" spans="1:2" x14ac:dyDescent="0.25">
      <c r="A46" s="11"/>
      <c r="B46" s="11"/>
    </row>
    <row r="47" spans="1:2" x14ac:dyDescent="0.25">
      <c r="A47" s="11"/>
      <c r="B47" s="11"/>
    </row>
    <row r="48" spans="1:2" x14ac:dyDescent="0.25">
      <c r="B48" s="11"/>
    </row>
  </sheetData>
  <mergeCells count="15">
    <mergeCell ref="B31:E31"/>
    <mergeCell ref="C12:D12"/>
    <mergeCell ref="B21:E21"/>
    <mergeCell ref="A5:H5"/>
    <mergeCell ref="A7:B7"/>
    <mergeCell ref="C7:H7"/>
    <mergeCell ref="A8:B8"/>
    <mergeCell ref="C8:H8"/>
    <mergeCell ref="A11:F11"/>
    <mergeCell ref="G11:H11"/>
    <mergeCell ref="A12:B12"/>
    <mergeCell ref="E12:F12"/>
    <mergeCell ref="G12:H12"/>
    <mergeCell ref="A14:F14"/>
    <mergeCell ref="G14:H14"/>
  </mergeCells>
  <dataValidations count="1">
    <dataValidation type="list" allowBlank="1" showInputMessage="1" showErrorMessage="1" sqref="G11:H11" xr:uid="{00000000-0002-0000-0000-000000000000}">
      <formula1>$J$7:$J$15</formula1>
    </dataValidation>
  </dataValidations>
  <pageMargins left="0.70866141732283472" right="0.70866141732283472" top="0.74803149606299213" bottom="0.74803149606299213"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117"/>
  <sheetViews>
    <sheetView zoomScale="85" zoomScaleNormal="85" zoomScalePageLayoutView="85" workbookViewId="0">
      <pane ySplit="6" topLeftCell="A70" activePane="bottomLeft" state="frozen"/>
      <selection pane="bottomLeft" activeCell="B76" sqref="B76"/>
    </sheetView>
  </sheetViews>
  <sheetFormatPr baseColWidth="10" defaultColWidth="10.85546875" defaultRowHeight="15" x14ac:dyDescent="0.25"/>
  <cols>
    <col min="1" max="1" width="10.140625" style="9" customWidth="1"/>
    <col min="2" max="2" width="42.28515625" style="9" customWidth="1"/>
    <col min="3" max="9" width="14.7109375" style="9" customWidth="1"/>
    <col min="10" max="10" width="3.42578125" style="9" customWidth="1"/>
    <col min="11" max="13" width="14.7109375" style="36" customWidth="1"/>
    <col min="14" max="14" width="45.140625" style="51" customWidth="1"/>
    <col min="15" max="15" width="19.7109375" style="9" customWidth="1"/>
    <col min="16" max="16" width="10.85546875" style="72"/>
    <col min="17" max="16384" width="10.85546875" style="9"/>
  </cols>
  <sheetData>
    <row r="1" spans="1:22" ht="28.5" x14ac:dyDescent="0.25">
      <c r="A1" s="26" t="s">
        <v>42</v>
      </c>
      <c r="B1" s="4"/>
      <c r="C1" s="5"/>
      <c r="D1" s="5"/>
      <c r="F1" s="10"/>
      <c r="G1" s="10"/>
      <c r="H1" s="49"/>
      <c r="I1" s="87"/>
      <c r="J1" s="10"/>
      <c r="K1" s="32"/>
      <c r="L1" s="32"/>
      <c r="M1" s="32"/>
    </row>
    <row r="2" spans="1:22" x14ac:dyDescent="0.25">
      <c r="A2" s="1"/>
      <c r="B2" s="7"/>
      <c r="C2" s="5"/>
      <c r="D2" s="5"/>
      <c r="F2" s="10"/>
      <c r="G2" s="10"/>
      <c r="H2" s="49"/>
      <c r="I2" s="87"/>
      <c r="J2" s="10"/>
      <c r="K2" s="32"/>
      <c r="L2" s="32"/>
      <c r="M2" s="32"/>
    </row>
    <row r="3" spans="1:22" ht="18.75" x14ac:dyDescent="0.25">
      <c r="A3" s="27" t="s">
        <v>53</v>
      </c>
      <c r="B3" s="4"/>
      <c r="F3" s="10"/>
      <c r="G3" s="10"/>
      <c r="H3" s="49"/>
      <c r="I3" s="87"/>
      <c r="J3" s="10"/>
      <c r="K3" s="32"/>
      <c r="L3" s="32"/>
      <c r="M3" s="32"/>
    </row>
    <row r="4" spans="1:22" ht="46.5" customHeight="1" x14ac:dyDescent="0.25">
      <c r="A4" s="208" t="s">
        <v>206</v>
      </c>
      <c r="B4" s="208"/>
      <c r="C4" s="208"/>
      <c r="D4" s="208"/>
      <c r="E4" s="208"/>
      <c r="F4" s="208"/>
      <c r="G4" s="208"/>
      <c r="H4" s="208"/>
      <c r="I4" s="208"/>
      <c r="J4" s="208"/>
      <c r="K4" s="208"/>
      <c r="L4" s="208"/>
      <c r="M4" s="208"/>
      <c r="N4" s="208"/>
      <c r="O4" s="51"/>
      <c r="P4" s="9"/>
    </row>
    <row r="5" spans="1:22" ht="5.25" customHeight="1" thickBot="1" x14ac:dyDescent="0.3">
      <c r="A5" s="1"/>
      <c r="B5" s="4"/>
      <c r="F5" s="10"/>
      <c r="G5" s="10"/>
      <c r="H5" s="49"/>
      <c r="I5" s="87"/>
      <c r="J5" s="10"/>
      <c r="K5" s="32"/>
      <c r="L5" s="32"/>
      <c r="M5" s="32"/>
    </row>
    <row r="6" spans="1:22" ht="16.5" thickBot="1" x14ac:dyDescent="0.3">
      <c r="A6" s="195" t="s">
        <v>35</v>
      </c>
      <c r="B6" s="196"/>
      <c r="C6" s="196"/>
      <c r="D6" s="196"/>
      <c r="E6" s="196"/>
      <c r="F6" s="200" t="s">
        <v>63</v>
      </c>
      <c r="G6" s="201"/>
      <c r="H6" s="49"/>
      <c r="I6" s="87"/>
      <c r="K6" s="33" t="s">
        <v>57</v>
      </c>
      <c r="L6" s="33"/>
      <c r="M6" s="33">
        <f>IF(F6="hebdomadaire",52,IF(F6="quincénaire",26,IF(F6="mensuel",12,IF(F6="trimestrielle (3mois)",4,IF(F6="semestre (6mois)",2,IF(F6="annuel",1,IF(F6="bimensuel (2mois)",6,1)))))))</f>
        <v>12</v>
      </c>
    </row>
    <row r="7" spans="1:22" ht="15.75" thickBot="1" x14ac:dyDescent="0.3">
      <c r="A7" s="1"/>
      <c r="B7" s="4"/>
      <c r="F7" s="10"/>
      <c r="G7" s="10"/>
      <c r="H7" s="49"/>
      <c r="I7" s="87"/>
      <c r="J7" s="10"/>
      <c r="K7" s="32"/>
      <c r="L7" s="32"/>
      <c r="M7" s="32"/>
    </row>
    <row r="8" spans="1:22" ht="18.75" x14ac:dyDescent="0.25">
      <c r="A8" s="194" t="s">
        <v>37</v>
      </c>
      <c r="B8" s="194"/>
      <c r="C8" s="194"/>
      <c r="D8" s="194"/>
      <c r="E8" s="194"/>
      <c r="F8" s="194"/>
      <c r="G8" s="194"/>
      <c r="H8" s="209" t="s">
        <v>103</v>
      </c>
      <c r="I8" s="210"/>
      <c r="J8" s="10"/>
      <c r="K8" s="34" t="s">
        <v>55</v>
      </c>
      <c r="L8" s="34" t="s">
        <v>54</v>
      </c>
      <c r="M8" s="34" t="s">
        <v>56</v>
      </c>
      <c r="N8" s="52" t="s">
        <v>100</v>
      </c>
      <c r="O8" s="43"/>
    </row>
    <row r="9" spans="1:22" ht="14.45" customHeight="1" x14ac:dyDescent="0.25">
      <c r="A9" s="6" t="s">
        <v>10</v>
      </c>
      <c r="B9" s="23" t="s">
        <v>31</v>
      </c>
      <c r="C9" s="6" t="s">
        <v>47</v>
      </c>
      <c r="D9" s="6" t="s">
        <v>3</v>
      </c>
      <c r="E9" s="6" t="s">
        <v>36</v>
      </c>
      <c r="F9" s="6" t="s">
        <v>3</v>
      </c>
      <c r="G9" s="6" t="s">
        <v>1</v>
      </c>
      <c r="H9" s="140" t="s">
        <v>107</v>
      </c>
      <c r="I9" s="141" t="s">
        <v>3</v>
      </c>
      <c r="J9" s="10"/>
      <c r="K9" s="35" t="s">
        <v>1</v>
      </c>
      <c r="L9" s="35" t="s">
        <v>1</v>
      </c>
      <c r="M9" s="35" t="s">
        <v>1</v>
      </c>
      <c r="N9" s="53"/>
    </row>
    <row r="10" spans="1:22" x14ac:dyDescent="0.25">
      <c r="A10" s="22"/>
      <c r="B10" s="22" t="s">
        <v>5</v>
      </c>
      <c r="C10" s="19"/>
      <c r="D10" s="19"/>
      <c r="E10" s="24"/>
      <c r="F10" s="24"/>
      <c r="G10" s="24"/>
      <c r="H10" s="142"/>
      <c r="I10" s="143"/>
      <c r="J10" s="10"/>
      <c r="K10" s="30"/>
      <c r="L10" s="30"/>
      <c r="M10" s="30"/>
      <c r="N10" s="54"/>
      <c r="O10" s="2"/>
    </row>
    <row r="11" spans="1:22" x14ac:dyDescent="0.25">
      <c r="A11" s="10" t="s">
        <v>16</v>
      </c>
      <c r="B11" s="9" t="s">
        <v>75</v>
      </c>
      <c r="C11" s="10">
        <v>1</v>
      </c>
      <c r="D11" s="10" t="s">
        <v>159</v>
      </c>
      <c r="E11" s="32">
        <v>1000</v>
      </c>
      <c r="F11" s="46" t="s">
        <v>68</v>
      </c>
      <c r="G11" s="32">
        <f>C11*E11</f>
        <v>1000</v>
      </c>
      <c r="H11" s="144">
        <f>G11</f>
        <v>1000</v>
      </c>
      <c r="I11" s="145" t="s">
        <v>68</v>
      </c>
      <c r="J11" s="10"/>
      <c r="K11" s="32">
        <f>H11*$M$6</f>
        <v>12000</v>
      </c>
      <c r="L11" s="32">
        <f>K11</f>
        <v>12000</v>
      </c>
      <c r="M11" s="32">
        <f>L11</f>
        <v>12000</v>
      </c>
      <c r="O11" s="2"/>
    </row>
    <row r="12" spans="1:22" x14ac:dyDescent="0.25">
      <c r="A12" s="85" t="s">
        <v>17</v>
      </c>
      <c r="B12" s="9" t="s">
        <v>184</v>
      </c>
      <c r="C12" s="85">
        <v>4</v>
      </c>
      <c r="D12" s="85" t="s">
        <v>185</v>
      </c>
      <c r="E12" s="32">
        <v>200</v>
      </c>
      <c r="F12" s="85" t="s">
        <v>68</v>
      </c>
      <c r="G12" s="32">
        <f>C12*E12</f>
        <v>800</v>
      </c>
      <c r="H12" s="144">
        <f t="shared" ref="H12" si="0">G12</f>
        <v>800</v>
      </c>
      <c r="I12" s="145" t="s">
        <v>68</v>
      </c>
      <c r="J12" s="85"/>
      <c r="K12" s="32">
        <f>H12*$M$6</f>
        <v>9600</v>
      </c>
      <c r="L12" s="32">
        <f>K12</f>
        <v>9600</v>
      </c>
      <c r="M12" s="32">
        <f>L12</f>
        <v>9600</v>
      </c>
      <c r="N12" s="51" t="s">
        <v>186</v>
      </c>
      <c r="P12" s="9"/>
    </row>
    <row r="13" spans="1:22" s="120" customFormat="1" x14ac:dyDescent="0.25">
      <c r="A13" s="85" t="s">
        <v>134</v>
      </c>
      <c r="B13" s="120" t="s">
        <v>113</v>
      </c>
      <c r="C13" s="121">
        <f>1/12</f>
        <v>8.3333333333333329E-2</v>
      </c>
      <c r="D13" s="119" t="s">
        <v>145</v>
      </c>
      <c r="E13" s="122">
        <v>1500</v>
      </c>
      <c r="F13" s="119" t="s">
        <v>68</v>
      </c>
      <c r="G13" s="122">
        <f t="shared" ref="G13" si="1">C13*E13</f>
        <v>125</v>
      </c>
      <c r="H13" s="146">
        <f t="shared" ref="H13" si="2">G13</f>
        <v>125</v>
      </c>
      <c r="I13" s="145" t="s">
        <v>68</v>
      </c>
      <c r="J13" s="119"/>
      <c r="K13" s="122">
        <f t="shared" ref="K13" si="3">G13*$M$6</f>
        <v>1500</v>
      </c>
      <c r="L13" s="122">
        <f t="shared" ref="L13:M13" si="4">K13</f>
        <v>1500</v>
      </c>
      <c r="M13" s="122">
        <f t="shared" si="4"/>
        <v>1500</v>
      </c>
      <c r="N13" s="123" t="s">
        <v>114</v>
      </c>
      <c r="O13" s="2"/>
    </row>
    <row r="14" spans="1:22" x14ac:dyDescent="0.25">
      <c r="A14" s="10"/>
      <c r="C14" s="46"/>
      <c r="D14" s="46"/>
      <c r="E14" s="32"/>
      <c r="F14" s="46"/>
      <c r="G14" s="32"/>
      <c r="H14" s="144"/>
      <c r="I14" s="145"/>
      <c r="J14" s="10"/>
      <c r="K14" s="32"/>
      <c r="L14" s="32"/>
      <c r="M14" s="32"/>
      <c r="O14" s="29"/>
    </row>
    <row r="15" spans="1:22" x14ac:dyDescent="0.25">
      <c r="A15" s="21"/>
      <c r="B15" s="22" t="s">
        <v>6</v>
      </c>
      <c r="C15" s="19"/>
      <c r="D15" s="19"/>
      <c r="E15" s="24"/>
      <c r="F15" s="24"/>
      <c r="G15" s="65"/>
      <c r="H15" s="147"/>
      <c r="I15" s="148"/>
      <c r="J15" s="10"/>
      <c r="K15" s="30"/>
      <c r="L15" s="30"/>
      <c r="M15" s="30"/>
      <c r="N15" s="54"/>
    </row>
    <row r="16" spans="1:22" s="28" customFormat="1" x14ac:dyDescent="0.25">
      <c r="A16" s="60"/>
      <c r="B16" s="58" t="s">
        <v>101</v>
      </c>
      <c r="C16" s="59"/>
      <c r="D16" s="59"/>
      <c r="E16" s="59"/>
      <c r="F16" s="59"/>
      <c r="G16" s="59" t="s">
        <v>104</v>
      </c>
      <c r="H16" s="149" t="s">
        <v>103</v>
      </c>
      <c r="I16" s="150"/>
      <c r="J16" s="61"/>
      <c r="K16" s="62"/>
      <c r="L16" s="62"/>
      <c r="M16" s="62"/>
      <c r="N16" s="63"/>
      <c r="P16" s="73"/>
      <c r="V16" s="73"/>
    </row>
    <row r="17" spans="1:22" x14ac:dyDescent="0.25">
      <c r="A17" s="10" t="s">
        <v>134</v>
      </c>
      <c r="B17" s="9" t="s">
        <v>118</v>
      </c>
      <c r="C17" s="57">
        <v>48</v>
      </c>
      <c r="D17" s="46" t="s">
        <v>157</v>
      </c>
      <c r="E17" s="32">
        <v>15</v>
      </c>
      <c r="F17" s="46" t="s">
        <v>68</v>
      </c>
      <c r="G17" s="32">
        <f>C17*E17</f>
        <v>720</v>
      </c>
      <c r="H17" s="144">
        <f>G17*52/12</f>
        <v>3120</v>
      </c>
      <c r="I17" s="145" t="s">
        <v>68</v>
      </c>
      <c r="J17" s="10"/>
      <c r="K17" s="32">
        <f>H17*$M$6</f>
        <v>37440</v>
      </c>
      <c r="L17" s="32">
        <f>K17</f>
        <v>37440</v>
      </c>
      <c r="M17" s="32">
        <f>L17</f>
        <v>37440</v>
      </c>
      <c r="N17" s="51" t="s">
        <v>189</v>
      </c>
      <c r="O17" s="43"/>
      <c r="V17" s="72"/>
    </row>
    <row r="18" spans="1:22" x14ac:dyDescent="0.25">
      <c r="A18" s="71" t="s">
        <v>18</v>
      </c>
      <c r="B18" s="9" t="s">
        <v>71</v>
      </c>
      <c r="C18" s="57">
        <v>48</v>
      </c>
      <c r="D18" s="83" t="s">
        <v>157</v>
      </c>
      <c r="E18" s="32">
        <v>25</v>
      </c>
      <c r="F18" s="46" t="s">
        <v>68</v>
      </c>
      <c r="G18" s="32">
        <f t="shared" ref="G18:G39" si="5">C18*E18</f>
        <v>1200</v>
      </c>
      <c r="H18" s="144">
        <f t="shared" ref="H18:H20" si="6">G18*52/12</f>
        <v>5200</v>
      </c>
      <c r="I18" s="145" t="s">
        <v>68</v>
      </c>
      <c r="J18" s="10"/>
      <c r="K18" s="32">
        <f>H18*$M$6</f>
        <v>62400</v>
      </c>
      <c r="L18" s="32">
        <f t="shared" ref="L18:M37" si="7">K18</f>
        <v>62400</v>
      </c>
      <c r="M18" s="32">
        <f t="shared" si="7"/>
        <v>62400</v>
      </c>
      <c r="N18" s="51" t="s">
        <v>189</v>
      </c>
      <c r="V18" s="72"/>
    </row>
    <row r="19" spans="1:22" x14ac:dyDescent="0.25">
      <c r="A19" s="71" t="s">
        <v>19</v>
      </c>
      <c r="B19" s="9" t="s">
        <v>74</v>
      </c>
      <c r="C19" s="49">
        <v>1</v>
      </c>
      <c r="D19" s="50" t="s">
        <v>156</v>
      </c>
      <c r="E19" s="32">
        <f>700*2</f>
        <v>1400</v>
      </c>
      <c r="F19" s="49" t="s">
        <v>68</v>
      </c>
      <c r="G19" s="32">
        <f>C19*E19</f>
        <v>1400</v>
      </c>
      <c r="H19" s="144">
        <f t="shared" si="6"/>
        <v>6066.666666666667</v>
      </c>
      <c r="I19" s="145" t="s">
        <v>68</v>
      </c>
      <c r="J19" s="49"/>
      <c r="K19" s="32">
        <f>H19*$M$6</f>
        <v>72800</v>
      </c>
      <c r="L19" s="32">
        <f>K19</f>
        <v>72800</v>
      </c>
      <c r="M19" s="32">
        <f>L19</f>
        <v>72800</v>
      </c>
      <c r="N19" s="51" t="s">
        <v>122</v>
      </c>
      <c r="O19" s="2"/>
      <c r="V19" s="72"/>
    </row>
    <row r="20" spans="1:22" s="120" customFormat="1" x14ac:dyDescent="0.25">
      <c r="A20" s="119" t="s">
        <v>20</v>
      </c>
      <c r="B20" s="120" t="s">
        <v>112</v>
      </c>
      <c r="C20" s="119">
        <v>1</v>
      </c>
      <c r="D20" s="119" t="s">
        <v>145</v>
      </c>
      <c r="E20" s="122">
        <v>100</v>
      </c>
      <c r="F20" s="119" t="s">
        <v>68</v>
      </c>
      <c r="G20" s="122">
        <f>C20*E20</f>
        <v>100</v>
      </c>
      <c r="H20" s="146">
        <f t="shared" si="6"/>
        <v>433.33333333333331</v>
      </c>
      <c r="I20" s="145" t="s">
        <v>68</v>
      </c>
      <c r="J20" s="119"/>
      <c r="K20" s="122">
        <f>H20*$M$6</f>
        <v>5200</v>
      </c>
      <c r="L20" s="122">
        <f>K20</f>
        <v>5200</v>
      </c>
      <c r="M20" s="122">
        <f>L20</f>
        <v>5200</v>
      </c>
      <c r="N20" s="123"/>
      <c r="O20" s="2"/>
      <c r="V20" s="124"/>
    </row>
    <row r="21" spans="1:22" x14ac:dyDescent="0.25">
      <c r="A21" s="49"/>
      <c r="C21" s="49"/>
      <c r="D21" s="49"/>
      <c r="E21" s="32"/>
      <c r="F21" s="49"/>
      <c r="G21" s="32"/>
      <c r="H21" s="144"/>
      <c r="I21" s="145"/>
      <c r="J21" s="49"/>
      <c r="K21" s="32"/>
      <c r="L21" s="32"/>
      <c r="M21" s="32"/>
      <c r="O21" s="2"/>
      <c r="V21" s="43"/>
    </row>
    <row r="22" spans="1:22" s="28" customFormat="1" x14ac:dyDescent="0.25">
      <c r="A22" s="60"/>
      <c r="B22" s="58" t="s">
        <v>102</v>
      </c>
      <c r="C22" s="59"/>
      <c r="D22" s="59"/>
      <c r="E22" s="59"/>
      <c r="F22" s="59"/>
      <c r="G22" s="59" t="s">
        <v>103</v>
      </c>
      <c r="H22" s="149" t="s">
        <v>103</v>
      </c>
      <c r="I22" s="150"/>
      <c r="J22" s="61"/>
      <c r="K22" s="62"/>
      <c r="L22" s="62"/>
      <c r="M22" s="62"/>
      <c r="N22" s="63"/>
      <c r="P22" s="73"/>
    </row>
    <row r="23" spans="1:22" x14ac:dyDescent="0.25">
      <c r="A23" s="49" t="s">
        <v>21</v>
      </c>
      <c r="B23" s="9" t="s">
        <v>76</v>
      </c>
      <c r="C23" s="49">
        <v>10</v>
      </c>
      <c r="D23" s="49" t="s">
        <v>150</v>
      </c>
      <c r="E23" s="32">
        <v>1000</v>
      </c>
      <c r="F23" s="49" t="s">
        <v>68</v>
      </c>
      <c r="G23" s="32">
        <f>C23*E23</f>
        <v>10000</v>
      </c>
      <c r="H23" s="144">
        <f>G23</f>
        <v>10000</v>
      </c>
      <c r="I23" s="145" t="s">
        <v>68</v>
      </c>
      <c r="J23" s="49"/>
      <c r="K23" s="32">
        <f>H23*$M$6</f>
        <v>120000</v>
      </c>
      <c r="L23" s="32">
        <f>K23</f>
        <v>120000</v>
      </c>
      <c r="M23" s="32">
        <f>L23</f>
        <v>120000</v>
      </c>
      <c r="N23" s="51" t="s">
        <v>127</v>
      </c>
    </row>
    <row r="24" spans="1:22" x14ac:dyDescent="0.25">
      <c r="A24" s="85" t="s">
        <v>22</v>
      </c>
      <c r="B24" s="9" t="s">
        <v>77</v>
      </c>
      <c r="C24" s="49">
        <v>10</v>
      </c>
      <c r="D24" s="49" t="s">
        <v>78</v>
      </c>
      <c r="E24" s="64">
        <v>800</v>
      </c>
      <c r="F24" s="49" t="s">
        <v>68</v>
      </c>
      <c r="G24" s="32">
        <f>C24*E24</f>
        <v>8000</v>
      </c>
      <c r="H24" s="144">
        <f t="shared" ref="H24:H42" si="8">G24</f>
        <v>8000</v>
      </c>
      <c r="I24" s="145" t="s">
        <v>68</v>
      </c>
      <c r="J24" s="49"/>
      <c r="K24" s="32">
        <f t="shared" ref="K24:K42" si="9">H24*$M$6</f>
        <v>96000</v>
      </c>
      <c r="L24" s="32">
        <f t="shared" ref="L24:L34" si="10">K24</f>
        <v>96000</v>
      </c>
      <c r="M24" s="32">
        <f t="shared" ref="M24:M34" si="11">L24</f>
        <v>96000</v>
      </c>
      <c r="N24" s="51" t="s">
        <v>127</v>
      </c>
    </row>
    <row r="25" spans="1:22" x14ac:dyDescent="0.25">
      <c r="A25" s="85" t="s">
        <v>27</v>
      </c>
      <c r="B25" s="9" t="s">
        <v>80</v>
      </c>
      <c r="C25" s="49">
        <v>10</v>
      </c>
      <c r="D25" s="49" t="s">
        <v>151</v>
      </c>
      <c r="E25" s="64">
        <v>280</v>
      </c>
      <c r="F25" s="49" t="s">
        <v>68</v>
      </c>
      <c r="G25" s="32">
        <f>C25*E25</f>
        <v>2800</v>
      </c>
      <c r="H25" s="144">
        <f t="shared" si="8"/>
        <v>2800</v>
      </c>
      <c r="I25" s="145" t="s">
        <v>68</v>
      </c>
      <c r="J25" s="49"/>
      <c r="K25" s="32">
        <f t="shared" si="9"/>
        <v>33600</v>
      </c>
      <c r="L25" s="32">
        <f t="shared" si="10"/>
        <v>33600</v>
      </c>
      <c r="M25" s="32">
        <f t="shared" si="11"/>
        <v>33600</v>
      </c>
      <c r="N25" s="51" t="s">
        <v>127</v>
      </c>
    </row>
    <row r="26" spans="1:22" x14ac:dyDescent="0.25">
      <c r="A26" s="85" t="s">
        <v>28</v>
      </c>
      <c r="B26" s="9" t="s">
        <v>98</v>
      </c>
      <c r="C26" s="71">
        <f>10</f>
        <v>10</v>
      </c>
      <c r="D26" s="83" t="s">
        <v>150</v>
      </c>
      <c r="E26" s="64">
        <v>1350</v>
      </c>
      <c r="F26" s="71" t="s">
        <v>68</v>
      </c>
      <c r="G26" s="32">
        <f t="shared" ref="G26:G31" si="12">C26*E26</f>
        <v>13500</v>
      </c>
      <c r="H26" s="144">
        <f t="shared" ref="H26:H31" si="13">G26</f>
        <v>13500</v>
      </c>
      <c r="I26" s="145" t="s">
        <v>68</v>
      </c>
      <c r="J26" s="71"/>
      <c r="K26" s="32">
        <f t="shared" ref="K26:K31" si="14">H26*$M$6</f>
        <v>162000</v>
      </c>
      <c r="L26" s="32">
        <f t="shared" ref="L26:L31" si="15">K26</f>
        <v>162000</v>
      </c>
      <c r="M26" s="32">
        <f t="shared" ref="M26:M31" si="16">L26</f>
        <v>162000</v>
      </c>
      <c r="N26" s="51" t="s">
        <v>127</v>
      </c>
    </row>
    <row r="27" spans="1:22" x14ac:dyDescent="0.25">
      <c r="A27" s="85" t="s">
        <v>29</v>
      </c>
      <c r="B27" s="9" t="s">
        <v>128</v>
      </c>
      <c r="C27" s="71">
        <v>10</v>
      </c>
      <c r="D27" s="71" t="s">
        <v>158</v>
      </c>
      <c r="E27" s="64">
        <v>220</v>
      </c>
      <c r="F27" s="71" t="s">
        <v>68</v>
      </c>
      <c r="G27" s="32">
        <f t="shared" si="12"/>
        <v>2200</v>
      </c>
      <c r="H27" s="144">
        <f t="shared" si="13"/>
        <v>2200</v>
      </c>
      <c r="I27" s="145" t="s">
        <v>68</v>
      </c>
      <c r="J27" s="71"/>
      <c r="K27" s="32">
        <f t="shared" si="14"/>
        <v>26400</v>
      </c>
      <c r="L27" s="32">
        <f t="shared" si="15"/>
        <v>26400</v>
      </c>
      <c r="M27" s="32">
        <f t="shared" si="16"/>
        <v>26400</v>
      </c>
      <c r="N27" s="51" t="s">
        <v>127</v>
      </c>
    </row>
    <row r="28" spans="1:22" x14ac:dyDescent="0.25">
      <c r="A28" s="85" t="s">
        <v>81</v>
      </c>
      <c r="B28" s="9" t="s">
        <v>99</v>
      </c>
      <c r="C28" s="71">
        <v>80</v>
      </c>
      <c r="D28" s="83" t="s">
        <v>150</v>
      </c>
      <c r="E28" s="64">
        <v>700</v>
      </c>
      <c r="F28" s="71" t="s">
        <v>68</v>
      </c>
      <c r="G28" s="32">
        <f t="shared" ref="G28" si="17">C28*E28</f>
        <v>56000</v>
      </c>
      <c r="H28" s="144">
        <f t="shared" ref="H28" si="18">G28</f>
        <v>56000</v>
      </c>
      <c r="I28" s="145" t="s">
        <v>68</v>
      </c>
      <c r="J28" s="71"/>
      <c r="K28" s="32">
        <f t="shared" ref="K28" si="19">H28*$M$6</f>
        <v>672000</v>
      </c>
      <c r="L28" s="32">
        <f t="shared" ref="L28" si="20">K28</f>
        <v>672000</v>
      </c>
      <c r="M28" s="32">
        <f t="shared" ref="M28" si="21">L28</f>
        <v>672000</v>
      </c>
      <c r="N28" s="51" t="s">
        <v>127</v>
      </c>
    </row>
    <row r="29" spans="1:22" x14ac:dyDescent="0.25">
      <c r="A29" s="85" t="s">
        <v>83</v>
      </c>
      <c r="B29" s="9" t="s">
        <v>126</v>
      </c>
      <c r="C29" s="49">
        <v>4</v>
      </c>
      <c r="D29" s="49" t="s">
        <v>154</v>
      </c>
      <c r="E29" s="64">
        <v>1500</v>
      </c>
      <c r="F29" s="49" t="s">
        <v>68</v>
      </c>
      <c r="G29" s="32">
        <f>C29*E29</f>
        <v>6000</v>
      </c>
      <c r="H29" s="144">
        <f>G29</f>
        <v>6000</v>
      </c>
      <c r="I29" s="145" t="s">
        <v>68</v>
      </c>
      <c r="J29" s="49"/>
      <c r="K29" s="32">
        <f>H29*$M$6</f>
        <v>72000</v>
      </c>
      <c r="L29" s="32">
        <f>K29</f>
        <v>72000</v>
      </c>
      <c r="M29" s="32">
        <f>L29</f>
        <v>72000</v>
      </c>
      <c r="N29" s="51" t="s">
        <v>127</v>
      </c>
    </row>
    <row r="30" spans="1:22" x14ac:dyDescent="0.25">
      <c r="A30" s="85" t="s">
        <v>86</v>
      </c>
      <c r="B30" s="9" t="s">
        <v>131</v>
      </c>
      <c r="C30" s="71">
        <v>3</v>
      </c>
      <c r="D30" s="83" t="s">
        <v>155</v>
      </c>
      <c r="E30" s="64">
        <v>1000</v>
      </c>
      <c r="F30" s="71" t="s">
        <v>68</v>
      </c>
      <c r="G30" s="32">
        <f>C30*E30</f>
        <v>3000</v>
      </c>
      <c r="H30" s="144">
        <f t="shared" ref="H30" si="22">G30</f>
        <v>3000</v>
      </c>
      <c r="I30" s="145" t="s">
        <v>68</v>
      </c>
      <c r="J30" s="71"/>
      <c r="K30" s="32">
        <f t="shared" ref="K30" si="23">H30*$M$6</f>
        <v>36000</v>
      </c>
      <c r="L30" s="32">
        <f t="shared" ref="L30" si="24">K30</f>
        <v>36000</v>
      </c>
      <c r="M30" s="32">
        <f t="shared" ref="M30" si="25">L30</f>
        <v>36000</v>
      </c>
      <c r="N30" s="51" t="s">
        <v>127</v>
      </c>
    </row>
    <row r="31" spans="1:22" x14ac:dyDescent="0.25">
      <c r="A31" s="85" t="s">
        <v>87</v>
      </c>
      <c r="B31" s="9" t="s">
        <v>129</v>
      </c>
      <c r="C31" s="71">
        <v>5</v>
      </c>
      <c r="D31" s="71" t="s">
        <v>152</v>
      </c>
      <c r="E31" s="64">
        <v>300</v>
      </c>
      <c r="F31" s="71" t="s">
        <v>68</v>
      </c>
      <c r="G31" s="32">
        <f t="shared" si="12"/>
        <v>1500</v>
      </c>
      <c r="H31" s="144">
        <f t="shared" si="13"/>
        <v>1500</v>
      </c>
      <c r="I31" s="145" t="s">
        <v>68</v>
      </c>
      <c r="J31" s="71"/>
      <c r="K31" s="32">
        <f t="shared" si="14"/>
        <v>18000</v>
      </c>
      <c r="L31" s="32">
        <f t="shared" si="15"/>
        <v>18000</v>
      </c>
      <c r="M31" s="32">
        <f t="shared" si="16"/>
        <v>18000</v>
      </c>
      <c r="N31" s="51" t="s">
        <v>127</v>
      </c>
    </row>
    <row r="32" spans="1:22" x14ac:dyDescent="0.25">
      <c r="A32" s="85" t="s">
        <v>88</v>
      </c>
      <c r="B32" s="9" t="s">
        <v>190</v>
      </c>
      <c r="C32" s="49">
        <v>5</v>
      </c>
      <c r="D32" s="83" t="s">
        <v>153</v>
      </c>
      <c r="E32" s="64">
        <v>300</v>
      </c>
      <c r="F32" s="49" t="s">
        <v>68</v>
      </c>
      <c r="G32" s="32">
        <f t="shared" ref="G32" si="26">C32*E32</f>
        <v>1500</v>
      </c>
      <c r="H32" s="144">
        <f t="shared" si="8"/>
        <v>1500</v>
      </c>
      <c r="I32" s="145" t="s">
        <v>68</v>
      </c>
      <c r="J32" s="49"/>
      <c r="K32" s="32">
        <f t="shared" si="9"/>
        <v>18000</v>
      </c>
      <c r="L32" s="32">
        <f t="shared" si="10"/>
        <v>18000</v>
      </c>
      <c r="M32" s="32">
        <f t="shared" si="11"/>
        <v>18000</v>
      </c>
      <c r="N32" s="51" t="s">
        <v>127</v>
      </c>
    </row>
    <row r="33" spans="1:17" x14ac:dyDescent="0.25">
      <c r="A33" s="85" t="s">
        <v>89</v>
      </c>
      <c r="B33" s="9" t="s">
        <v>133</v>
      </c>
      <c r="C33" s="49">
        <v>1</v>
      </c>
      <c r="D33" s="49" t="s">
        <v>145</v>
      </c>
      <c r="E33" s="64">
        <v>4000</v>
      </c>
      <c r="F33" s="49" t="s">
        <v>68</v>
      </c>
      <c r="G33" s="32">
        <f>C33*E33</f>
        <v>4000</v>
      </c>
      <c r="H33" s="144">
        <f t="shared" si="8"/>
        <v>4000</v>
      </c>
      <c r="I33" s="145" t="s">
        <v>68</v>
      </c>
      <c r="J33" s="49"/>
      <c r="K33" s="32">
        <f t="shared" si="9"/>
        <v>48000</v>
      </c>
      <c r="L33" s="32">
        <f t="shared" si="10"/>
        <v>48000</v>
      </c>
      <c r="M33" s="32">
        <f t="shared" si="11"/>
        <v>48000</v>
      </c>
      <c r="N33" s="51" t="s">
        <v>127</v>
      </c>
    </row>
    <row r="34" spans="1:17" x14ac:dyDescent="0.25">
      <c r="A34" s="85" t="s">
        <v>90</v>
      </c>
      <c r="B34" s="9" t="s">
        <v>187</v>
      </c>
      <c r="C34" s="85">
        <v>1</v>
      </c>
      <c r="D34" s="85" t="s">
        <v>156</v>
      </c>
      <c r="E34" s="64">
        <f>15*SUM(C23:C32)</f>
        <v>2205</v>
      </c>
      <c r="F34" s="85" t="s">
        <v>68</v>
      </c>
      <c r="G34" s="32">
        <f t="shared" ref="G34" si="27">C34*E34</f>
        <v>2205</v>
      </c>
      <c r="H34" s="144">
        <f t="shared" si="8"/>
        <v>2205</v>
      </c>
      <c r="I34" s="145" t="s">
        <v>68</v>
      </c>
      <c r="J34" s="85"/>
      <c r="K34" s="32">
        <f t="shared" si="9"/>
        <v>26460</v>
      </c>
      <c r="L34" s="32">
        <f t="shared" si="10"/>
        <v>26460</v>
      </c>
      <c r="M34" s="32">
        <f t="shared" si="11"/>
        <v>26460</v>
      </c>
      <c r="N34" s="51" t="s">
        <v>123</v>
      </c>
    </row>
    <row r="35" spans="1:17" x14ac:dyDescent="0.25">
      <c r="A35" s="85" t="s">
        <v>91</v>
      </c>
      <c r="B35" s="9" t="s">
        <v>226</v>
      </c>
      <c r="C35" s="71">
        <v>30</v>
      </c>
      <c r="D35" s="83" t="s">
        <v>146</v>
      </c>
      <c r="E35" s="32">
        <v>170</v>
      </c>
      <c r="F35" s="71" t="s">
        <v>68</v>
      </c>
      <c r="G35" s="32">
        <f t="shared" ref="G35" si="28">C35*E35</f>
        <v>5100</v>
      </c>
      <c r="H35" s="144">
        <f t="shared" ref="H35" si="29">G35</f>
        <v>5100</v>
      </c>
      <c r="I35" s="145" t="s">
        <v>68</v>
      </c>
      <c r="J35" s="71"/>
      <c r="K35" s="32">
        <f t="shared" ref="K35" si="30">H35*$M$6</f>
        <v>61200</v>
      </c>
      <c r="L35" s="32">
        <f t="shared" ref="L35" si="31">K35</f>
        <v>61200</v>
      </c>
      <c r="M35" s="32">
        <f t="shared" ref="M35" si="32">L35</f>
        <v>61200</v>
      </c>
      <c r="N35" s="51" t="s">
        <v>148</v>
      </c>
    </row>
    <row r="36" spans="1:17" x14ac:dyDescent="0.25">
      <c r="A36" s="85" t="s">
        <v>92</v>
      </c>
      <c r="B36" s="9" t="s">
        <v>227</v>
      </c>
      <c r="C36" s="46">
        <v>24</v>
      </c>
      <c r="D36" s="83" t="s">
        <v>146</v>
      </c>
      <c r="E36" s="32">
        <v>18</v>
      </c>
      <c r="F36" s="46" t="s">
        <v>68</v>
      </c>
      <c r="G36" s="32">
        <f t="shared" si="5"/>
        <v>432</v>
      </c>
      <c r="H36" s="144">
        <f t="shared" si="8"/>
        <v>432</v>
      </c>
      <c r="I36" s="145" t="s">
        <v>68</v>
      </c>
      <c r="J36" s="46"/>
      <c r="K36" s="32">
        <f t="shared" si="9"/>
        <v>5184</v>
      </c>
      <c r="L36" s="32">
        <f t="shared" si="7"/>
        <v>5184</v>
      </c>
      <c r="M36" s="32">
        <f t="shared" si="7"/>
        <v>5184</v>
      </c>
      <c r="N36" s="51" t="s">
        <v>132</v>
      </c>
    </row>
    <row r="37" spans="1:17" x14ac:dyDescent="0.25">
      <c r="A37" s="85" t="s">
        <v>93</v>
      </c>
      <c r="B37" s="9" t="s">
        <v>228</v>
      </c>
      <c r="C37" s="49">
        <v>24</v>
      </c>
      <c r="D37" s="83" t="s">
        <v>146</v>
      </c>
      <c r="E37" s="32">
        <v>45</v>
      </c>
      <c r="F37" s="49" t="s">
        <v>68</v>
      </c>
      <c r="G37" s="32">
        <f t="shared" si="5"/>
        <v>1080</v>
      </c>
      <c r="H37" s="144">
        <f t="shared" si="8"/>
        <v>1080</v>
      </c>
      <c r="I37" s="145" t="s">
        <v>68</v>
      </c>
      <c r="J37" s="49"/>
      <c r="K37" s="32">
        <f t="shared" si="9"/>
        <v>12960</v>
      </c>
      <c r="L37" s="32">
        <f t="shared" si="7"/>
        <v>12960</v>
      </c>
      <c r="M37" s="32">
        <f t="shared" si="7"/>
        <v>12960</v>
      </c>
      <c r="N37" s="51" t="s">
        <v>132</v>
      </c>
    </row>
    <row r="38" spans="1:17" x14ac:dyDescent="0.25">
      <c r="A38" s="85" t="s">
        <v>94</v>
      </c>
      <c r="B38" s="9" t="s">
        <v>229</v>
      </c>
      <c r="C38" s="71">
        <v>12</v>
      </c>
      <c r="D38" s="83" t="s">
        <v>146</v>
      </c>
      <c r="E38" s="32">
        <v>5</v>
      </c>
      <c r="F38" s="71" t="s">
        <v>68</v>
      </c>
      <c r="G38" s="32">
        <f t="shared" si="5"/>
        <v>60</v>
      </c>
      <c r="H38" s="144">
        <f t="shared" ref="H38:H39" si="33">G38</f>
        <v>60</v>
      </c>
      <c r="I38" s="145" t="s">
        <v>68</v>
      </c>
      <c r="J38" s="71"/>
      <c r="K38" s="32">
        <f t="shared" ref="K38:K39" si="34">H38*$M$6</f>
        <v>720</v>
      </c>
      <c r="L38" s="32">
        <f t="shared" ref="L38:L39" si="35">K38</f>
        <v>720</v>
      </c>
      <c r="M38" s="32">
        <f t="shared" ref="M38:M39" si="36">L38</f>
        <v>720</v>
      </c>
      <c r="N38" s="51" t="s">
        <v>132</v>
      </c>
    </row>
    <row r="39" spans="1:17" x14ac:dyDescent="0.25">
      <c r="A39" s="85" t="s">
        <v>111</v>
      </c>
      <c r="B39" s="9" t="s">
        <v>230</v>
      </c>
      <c r="C39" s="71">
        <v>24</v>
      </c>
      <c r="D39" s="83" t="s">
        <v>146</v>
      </c>
      <c r="E39" s="32">
        <v>35</v>
      </c>
      <c r="F39" s="71" t="s">
        <v>68</v>
      </c>
      <c r="G39" s="32">
        <f t="shared" si="5"/>
        <v>840</v>
      </c>
      <c r="H39" s="144">
        <f t="shared" si="33"/>
        <v>840</v>
      </c>
      <c r="I39" s="145" t="s">
        <v>68</v>
      </c>
      <c r="J39" s="71"/>
      <c r="K39" s="32">
        <f t="shared" si="34"/>
        <v>10080</v>
      </c>
      <c r="L39" s="32">
        <f t="shared" si="35"/>
        <v>10080</v>
      </c>
      <c r="M39" s="32">
        <f t="shared" si="36"/>
        <v>10080</v>
      </c>
      <c r="N39" s="51" t="s">
        <v>132</v>
      </c>
    </row>
    <row r="40" spans="1:17" x14ac:dyDescent="0.25">
      <c r="A40" s="85" t="s">
        <v>135</v>
      </c>
      <c r="B40" s="9" t="s">
        <v>231</v>
      </c>
      <c r="C40" s="46">
        <v>10</v>
      </c>
      <c r="D40" s="83" t="s">
        <v>146</v>
      </c>
      <c r="E40" s="32">
        <v>400</v>
      </c>
      <c r="F40" s="46" t="s">
        <v>68</v>
      </c>
      <c r="G40" s="32">
        <f t="shared" ref="G40" si="37">C40*E40</f>
        <v>4000</v>
      </c>
      <c r="H40" s="144">
        <f t="shared" si="8"/>
        <v>4000</v>
      </c>
      <c r="I40" s="145" t="s">
        <v>68</v>
      </c>
      <c r="J40" s="46"/>
      <c r="K40" s="32">
        <f t="shared" si="9"/>
        <v>48000</v>
      </c>
      <c r="L40" s="32">
        <f t="shared" ref="L40" si="38">K40</f>
        <v>48000</v>
      </c>
      <c r="M40" s="32">
        <f t="shared" ref="M40" si="39">L40</f>
        <v>48000</v>
      </c>
      <c r="N40" s="51" t="s">
        <v>132</v>
      </c>
    </row>
    <row r="41" spans="1:17" x14ac:dyDescent="0.25">
      <c r="A41" s="85" t="s">
        <v>136</v>
      </c>
      <c r="B41" s="9" t="s">
        <v>232</v>
      </c>
      <c r="C41" s="71">
        <v>1</v>
      </c>
      <c r="D41" s="49" t="s">
        <v>40</v>
      </c>
      <c r="E41" s="32">
        <v>200</v>
      </c>
      <c r="F41" s="49" t="s">
        <v>68</v>
      </c>
      <c r="G41" s="32">
        <f t="shared" ref="G41:G42" si="40">C41*E41</f>
        <v>200</v>
      </c>
      <c r="H41" s="144">
        <f t="shared" si="8"/>
        <v>200</v>
      </c>
      <c r="I41" s="145" t="s">
        <v>68</v>
      </c>
      <c r="J41" s="49"/>
      <c r="K41" s="32">
        <f t="shared" si="9"/>
        <v>2400</v>
      </c>
      <c r="L41" s="32">
        <f t="shared" ref="L41:L42" si="41">K41</f>
        <v>2400</v>
      </c>
      <c r="M41" s="32">
        <f t="shared" ref="M41:M42" si="42">L41</f>
        <v>2400</v>
      </c>
      <c r="N41" s="51" t="s">
        <v>132</v>
      </c>
      <c r="O41" s="29"/>
    </row>
    <row r="42" spans="1:17" x14ac:dyDescent="0.25">
      <c r="A42" s="71" t="s">
        <v>137</v>
      </c>
      <c r="B42" s="9" t="s">
        <v>112</v>
      </c>
      <c r="C42" s="49">
        <v>1</v>
      </c>
      <c r="D42" s="83" t="s">
        <v>145</v>
      </c>
      <c r="E42" s="64">
        <f>ROUNDUP(SUM(C56:C73)/2,-1)</f>
        <v>1410</v>
      </c>
      <c r="F42" s="49" t="s">
        <v>68</v>
      </c>
      <c r="G42" s="32">
        <f t="shared" si="40"/>
        <v>1410</v>
      </c>
      <c r="H42" s="144">
        <f t="shared" si="8"/>
        <v>1410</v>
      </c>
      <c r="I42" s="145" t="s">
        <v>68</v>
      </c>
      <c r="J42" s="49"/>
      <c r="K42" s="32">
        <f t="shared" si="9"/>
        <v>16920</v>
      </c>
      <c r="L42" s="32">
        <f t="shared" si="41"/>
        <v>16920</v>
      </c>
      <c r="M42" s="32">
        <f t="shared" si="42"/>
        <v>16920</v>
      </c>
      <c r="O42" s="2"/>
    </row>
    <row r="43" spans="1:17" x14ac:dyDescent="0.25">
      <c r="A43" s="87"/>
      <c r="C43" s="87"/>
      <c r="D43" s="87"/>
      <c r="E43" s="32"/>
      <c r="F43" s="87"/>
      <c r="G43" s="32"/>
      <c r="H43" s="144"/>
      <c r="I43" s="145"/>
      <c r="J43" s="87"/>
      <c r="K43" s="32"/>
      <c r="L43" s="32"/>
      <c r="M43" s="32"/>
      <c r="P43" s="9"/>
    </row>
    <row r="44" spans="1:17" x14ac:dyDescent="0.25">
      <c r="A44" s="21"/>
      <c r="B44" s="126" t="s">
        <v>223</v>
      </c>
      <c r="C44" s="19"/>
      <c r="D44" s="19"/>
      <c r="E44" s="24"/>
      <c r="F44" s="24"/>
      <c r="G44" s="24"/>
      <c r="H44" s="142"/>
      <c r="I44" s="143"/>
      <c r="J44" s="50"/>
      <c r="K44" s="30"/>
      <c r="L44" s="30"/>
      <c r="M44" s="30"/>
      <c r="N44" s="30"/>
      <c r="O44" s="2"/>
      <c r="P44" s="2"/>
    </row>
    <row r="45" spans="1:17" s="131" customFormat="1" x14ac:dyDescent="0.25">
      <c r="A45" s="162" t="s">
        <v>16</v>
      </c>
      <c r="B45" s="173" t="s">
        <v>224</v>
      </c>
      <c r="C45" s="174">
        <f>1/6</f>
        <v>0.16666666666666666</v>
      </c>
      <c r="D45" s="162" t="s">
        <v>145</v>
      </c>
      <c r="E45" s="164">
        <v>1500</v>
      </c>
      <c r="F45" s="162" t="s">
        <v>68</v>
      </c>
      <c r="G45" s="164">
        <f t="shared" ref="G45" si="43">C45*E45</f>
        <v>250</v>
      </c>
      <c r="H45" s="165"/>
      <c r="I45" s="166" t="s">
        <v>68</v>
      </c>
      <c r="J45" s="50"/>
      <c r="K45" s="164"/>
      <c r="L45" s="164">
        <f>G45*$M$6</f>
        <v>3000</v>
      </c>
      <c r="M45" s="164">
        <f>L45</f>
        <v>3000</v>
      </c>
      <c r="N45" s="168" t="s">
        <v>225</v>
      </c>
      <c r="O45" s="2"/>
      <c r="Q45" s="169"/>
    </row>
    <row r="46" spans="1:17" x14ac:dyDescent="0.25">
      <c r="A46" s="71"/>
      <c r="C46" s="10"/>
      <c r="D46" s="10"/>
      <c r="E46" s="32"/>
      <c r="F46" s="10"/>
      <c r="G46" s="32"/>
      <c r="H46" s="144"/>
      <c r="I46" s="145"/>
      <c r="J46" s="10"/>
      <c r="K46" s="32"/>
      <c r="L46" s="32"/>
      <c r="M46" s="32"/>
    </row>
    <row r="47" spans="1:17" s="7" customFormat="1" x14ac:dyDescent="0.25">
      <c r="A47" s="25" t="s">
        <v>7</v>
      </c>
      <c r="B47" s="191" t="s">
        <v>0</v>
      </c>
      <c r="C47" s="191"/>
      <c r="D47" s="191"/>
      <c r="E47" s="191"/>
      <c r="F47" s="191"/>
      <c r="G47" s="31"/>
      <c r="H47" s="151">
        <f>SUM(H10:H46)</f>
        <v>140572</v>
      </c>
      <c r="I47" s="152" t="s">
        <v>68</v>
      </c>
      <c r="J47" s="8"/>
      <c r="K47" s="31">
        <f>SUM(K10:K46)</f>
        <v>1686864</v>
      </c>
      <c r="L47" s="31">
        <f>SUM(L10:L46)</f>
        <v>1689864</v>
      </c>
      <c r="M47" s="31">
        <f>SUM(M10:M46)</f>
        <v>1689864</v>
      </c>
      <c r="N47" s="55"/>
      <c r="P47" s="73"/>
    </row>
    <row r="48" spans="1:17" ht="24" customHeight="1" x14ac:dyDescent="0.25">
      <c r="G48" s="43"/>
      <c r="H48" s="153"/>
      <c r="I48" s="154"/>
      <c r="J48" s="10"/>
    </row>
    <row r="49" spans="1:16" ht="18.75" x14ac:dyDescent="0.25">
      <c r="A49" s="194" t="s">
        <v>38</v>
      </c>
      <c r="B49" s="194"/>
      <c r="C49" s="194"/>
      <c r="D49" s="194"/>
      <c r="E49" s="194"/>
      <c r="F49" s="194"/>
      <c r="G49" s="194"/>
      <c r="H49" s="211" t="s">
        <v>103</v>
      </c>
      <c r="I49" s="212"/>
      <c r="J49" s="10"/>
      <c r="K49" s="34" t="s">
        <v>55</v>
      </c>
      <c r="L49" s="34" t="s">
        <v>54</v>
      </c>
      <c r="M49" s="34" t="s">
        <v>56</v>
      </c>
      <c r="N49" s="52"/>
    </row>
    <row r="50" spans="1:16" x14ac:dyDescent="0.25">
      <c r="A50" s="6" t="s">
        <v>11</v>
      </c>
      <c r="B50" s="6" t="s">
        <v>39</v>
      </c>
      <c r="C50" s="6" t="s">
        <v>47</v>
      </c>
      <c r="D50" s="6" t="s">
        <v>3</v>
      </c>
      <c r="E50" s="6" t="s">
        <v>41</v>
      </c>
      <c r="F50" s="6" t="s">
        <v>3</v>
      </c>
      <c r="G50" s="6" t="s">
        <v>1</v>
      </c>
      <c r="H50" s="140" t="s">
        <v>107</v>
      </c>
      <c r="I50" s="141" t="s">
        <v>3</v>
      </c>
      <c r="J50" s="10"/>
      <c r="K50" s="35" t="s">
        <v>1</v>
      </c>
      <c r="L50" s="35" t="s">
        <v>1</v>
      </c>
      <c r="M50" s="35" t="s">
        <v>1</v>
      </c>
      <c r="N50" s="53"/>
    </row>
    <row r="51" spans="1:16" s="28" customFormat="1" x14ac:dyDescent="0.25">
      <c r="A51" s="60"/>
      <c r="B51" s="58" t="s">
        <v>105</v>
      </c>
      <c r="C51" s="59"/>
      <c r="D51" s="59"/>
      <c r="E51" s="59"/>
      <c r="F51" s="59"/>
      <c r="G51" s="59" t="s">
        <v>104</v>
      </c>
      <c r="H51" s="149" t="s">
        <v>103</v>
      </c>
      <c r="I51" s="150"/>
      <c r="J51" s="61"/>
      <c r="K51" s="62"/>
      <c r="L51" s="62"/>
      <c r="M51" s="62"/>
      <c r="N51" s="63"/>
      <c r="P51" s="73"/>
    </row>
    <row r="52" spans="1:16" x14ac:dyDescent="0.25">
      <c r="A52" s="10" t="s">
        <v>23</v>
      </c>
      <c r="B52" s="9" t="s">
        <v>70</v>
      </c>
      <c r="C52" s="57">
        <f>C17</f>
        <v>48</v>
      </c>
      <c r="D52" s="46" t="str">
        <f>D17</f>
        <v>kg</v>
      </c>
      <c r="E52" s="32">
        <v>60</v>
      </c>
      <c r="F52" s="46" t="s">
        <v>68</v>
      </c>
      <c r="G52" s="32">
        <f>C52*E52</f>
        <v>2880</v>
      </c>
      <c r="H52" s="144">
        <f>G52*52/12</f>
        <v>12480</v>
      </c>
      <c r="I52" s="145" t="s">
        <v>68</v>
      </c>
      <c r="J52" s="10"/>
      <c r="K52" s="32">
        <f>H52*$M$6</f>
        <v>149760</v>
      </c>
      <c r="L52" s="32">
        <f t="shared" ref="L52:M52" si="44">K52</f>
        <v>149760</v>
      </c>
      <c r="M52" s="32">
        <f t="shared" si="44"/>
        <v>149760</v>
      </c>
    </row>
    <row r="53" spans="1:16" s="11" customFormat="1" x14ac:dyDescent="0.25">
      <c r="A53" s="49" t="s">
        <v>24</v>
      </c>
      <c r="B53" s="9" t="s">
        <v>71</v>
      </c>
      <c r="C53" s="57">
        <f>C18</f>
        <v>48</v>
      </c>
      <c r="D53" s="46" t="str">
        <f>D18</f>
        <v>kg</v>
      </c>
      <c r="E53" s="32">
        <v>40</v>
      </c>
      <c r="F53" s="46" t="s">
        <v>68</v>
      </c>
      <c r="G53" s="32">
        <f t="shared" ref="G53" si="45">C53*E53</f>
        <v>1920</v>
      </c>
      <c r="H53" s="144">
        <f t="shared" ref="H53" si="46">G53*52/12</f>
        <v>8320</v>
      </c>
      <c r="I53" s="145" t="s">
        <v>68</v>
      </c>
      <c r="J53" s="10"/>
      <c r="K53" s="32">
        <f>H53*$M$6</f>
        <v>99840</v>
      </c>
      <c r="L53" s="32">
        <f t="shared" ref="L53:M53" si="47">K53</f>
        <v>99840</v>
      </c>
      <c r="M53" s="32">
        <f t="shared" si="47"/>
        <v>99840</v>
      </c>
      <c r="N53" s="51"/>
      <c r="P53" s="74"/>
    </row>
    <row r="54" spans="1:16" s="11" customFormat="1" x14ac:dyDescent="0.25">
      <c r="A54" s="49"/>
      <c r="B54" s="9"/>
      <c r="C54" s="57"/>
      <c r="D54" s="49"/>
      <c r="E54" s="32"/>
      <c r="F54" s="49"/>
      <c r="G54" s="32"/>
      <c r="H54" s="144"/>
      <c r="I54" s="145"/>
      <c r="J54" s="49"/>
      <c r="K54" s="32"/>
      <c r="L54" s="32"/>
      <c r="M54" s="32"/>
      <c r="N54" s="51"/>
      <c r="P54" s="74"/>
    </row>
    <row r="55" spans="1:16" s="28" customFormat="1" x14ac:dyDescent="0.25">
      <c r="A55" s="60"/>
      <c r="B55" s="58" t="s">
        <v>106</v>
      </c>
      <c r="C55" s="59"/>
      <c r="D55" s="59"/>
      <c r="E55" s="59"/>
      <c r="F55" s="59"/>
      <c r="G55" s="59" t="s">
        <v>103</v>
      </c>
      <c r="H55" s="149" t="s">
        <v>103</v>
      </c>
      <c r="I55" s="150"/>
      <c r="J55" s="61"/>
      <c r="K55" s="62"/>
      <c r="L55" s="62"/>
      <c r="M55" s="62"/>
      <c r="N55" s="63"/>
      <c r="P55" s="73"/>
    </row>
    <row r="56" spans="1:16" x14ac:dyDescent="0.25">
      <c r="A56" s="49" t="s">
        <v>25</v>
      </c>
      <c r="B56" s="9" t="s">
        <v>76</v>
      </c>
      <c r="C56" s="49">
        <f>C23*50</f>
        <v>500</v>
      </c>
      <c r="D56" s="83" t="s">
        <v>157</v>
      </c>
      <c r="E56" s="32">
        <v>25</v>
      </c>
      <c r="F56" s="49" t="s">
        <v>68</v>
      </c>
      <c r="G56" s="32">
        <f t="shared" ref="G56:G67" si="48">C56*E56</f>
        <v>12500</v>
      </c>
      <c r="H56" s="144">
        <f t="shared" ref="H56:H67" si="49">G56</f>
        <v>12500</v>
      </c>
      <c r="I56" s="145" t="s">
        <v>68</v>
      </c>
      <c r="J56" s="49"/>
      <c r="K56" s="32">
        <f t="shared" ref="K56:K67" si="50">H56*$M$6</f>
        <v>150000</v>
      </c>
      <c r="L56" s="32">
        <f t="shared" ref="L56:M67" si="51">K56</f>
        <v>150000</v>
      </c>
      <c r="M56" s="32">
        <f t="shared" si="51"/>
        <v>150000</v>
      </c>
      <c r="O56" s="43"/>
    </row>
    <row r="57" spans="1:16" x14ac:dyDescent="0.25">
      <c r="A57" s="85" t="s">
        <v>72</v>
      </c>
      <c r="B57" s="9" t="s">
        <v>77</v>
      </c>
      <c r="C57" s="71">
        <f>C24*20</f>
        <v>200</v>
      </c>
      <c r="D57" s="71" t="s">
        <v>79</v>
      </c>
      <c r="E57" s="32">
        <v>60</v>
      </c>
      <c r="F57" s="71" t="s">
        <v>68</v>
      </c>
      <c r="G57" s="32">
        <f t="shared" ref="G57" si="52">C57*E57</f>
        <v>12000</v>
      </c>
      <c r="H57" s="144">
        <f t="shared" ref="H57" si="53">G57</f>
        <v>12000</v>
      </c>
      <c r="I57" s="145" t="s">
        <v>68</v>
      </c>
      <c r="J57" s="71"/>
      <c r="K57" s="32">
        <f t="shared" ref="K57" si="54">H57*$M$6</f>
        <v>144000</v>
      </c>
      <c r="L57" s="32">
        <f t="shared" ref="L57" si="55">K57</f>
        <v>144000</v>
      </c>
      <c r="M57" s="32">
        <f t="shared" ref="M57" si="56">L57</f>
        <v>144000</v>
      </c>
      <c r="O57" s="43"/>
    </row>
    <row r="58" spans="1:16" x14ac:dyDescent="0.25">
      <c r="A58" s="85" t="s">
        <v>73</v>
      </c>
      <c r="B58" s="9" t="s">
        <v>124</v>
      </c>
      <c r="C58" s="49">
        <f>C24</f>
        <v>10</v>
      </c>
      <c r="D58" s="49" t="s">
        <v>79</v>
      </c>
      <c r="E58" s="32">
        <v>60</v>
      </c>
      <c r="F58" s="49" t="s">
        <v>68</v>
      </c>
      <c r="G58" s="32">
        <f t="shared" si="48"/>
        <v>600</v>
      </c>
      <c r="H58" s="144">
        <f t="shared" si="49"/>
        <v>600</v>
      </c>
      <c r="I58" s="145" t="s">
        <v>68</v>
      </c>
      <c r="J58" s="49"/>
      <c r="K58" s="32">
        <f t="shared" si="50"/>
        <v>7200</v>
      </c>
      <c r="L58" s="32">
        <f t="shared" si="51"/>
        <v>7200</v>
      </c>
      <c r="M58" s="32">
        <f t="shared" si="51"/>
        <v>7200</v>
      </c>
      <c r="O58" s="43"/>
      <c r="P58" s="72" t="s">
        <v>125</v>
      </c>
    </row>
    <row r="59" spans="1:16" x14ac:dyDescent="0.25">
      <c r="A59" s="85" t="s">
        <v>120</v>
      </c>
      <c r="B59" s="9" t="s">
        <v>80</v>
      </c>
      <c r="C59" s="49">
        <f>C25*10</f>
        <v>100</v>
      </c>
      <c r="D59" s="83" t="s">
        <v>157</v>
      </c>
      <c r="E59" s="32">
        <v>40</v>
      </c>
      <c r="F59" s="49" t="s">
        <v>68</v>
      </c>
      <c r="G59" s="32">
        <f t="shared" si="48"/>
        <v>4000</v>
      </c>
      <c r="H59" s="144">
        <f t="shared" si="49"/>
        <v>4000</v>
      </c>
      <c r="I59" s="145" t="s">
        <v>68</v>
      </c>
      <c r="J59" s="49"/>
      <c r="K59" s="32">
        <f t="shared" si="50"/>
        <v>48000</v>
      </c>
      <c r="L59" s="32">
        <f t="shared" si="51"/>
        <v>48000</v>
      </c>
      <c r="M59" s="32">
        <f t="shared" si="51"/>
        <v>48000</v>
      </c>
      <c r="O59" s="43"/>
    </row>
    <row r="60" spans="1:16" x14ac:dyDescent="0.25">
      <c r="A60" s="85" t="s">
        <v>82</v>
      </c>
      <c r="B60" s="9" t="s">
        <v>98</v>
      </c>
      <c r="C60" s="57">
        <f>C26</f>
        <v>10</v>
      </c>
      <c r="D60" s="83" t="s">
        <v>150</v>
      </c>
      <c r="E60" s="32">
        <v>1500</v>
      </c>
      <c r="F60" s="71" t="s">
        <v>68</v>
      </c>
      <c r="G60" s="32">
        <f t="shared" ref="G60:G61" si="57">C60*E60</f>
        <v>15000</v>
      </c>
      <c r="H60" s="144">
        <f t="shared" ref="H60:H61" si="58">G60</f>
        <v>15000</v>
      </c>
      <c r="I60" s="145" t="s">
        <v>68</v>
      </c>
      <c r="J60" s="71"/>
      <c r="K60" s="32">
        <f t="shared" ref="K60:K61" si="59">H60*$M$6</f>
        <v>180000</v>
      </c>
      <c r="L60" s="32">
        <f t="shared" ref="L60:L61" si="60">K60</f>
        <v>180000</v>
      </c>
      <c r="M60" s="32">
        <f t="shared" ref="M60:M61" si="61">L60</f>
        <v>180000</v>
      </c>
      <c r="O60" s="43"/>
    </row>
    <row r="61" spans="1:16" x14ac:dyDescent="0.25">
      <c r="A61" s="85" t="s">
        <v>84</v>
      </c>
      <c r="B61" s="9" t="s">
        <v>128</v>
      </c>
      <c r="C61" s="57">
        <f>C27*50</f>
        <v>500</v>
      </c>
      <c r="D61" s="83" t="s">
        <v>146</v>
      </c>
      <c r="E61" s="32">
        <v>5</v>
      </c>
      <c r="F61" s="71" t="s">
        <v>68</v>
      </c>
      <c r="G61" s="32">
        <f t="shared" si="57"/>
        <v>2500</v>
      </c>
      <c r="H61" s="144">
        <f t="shared" si="58"/>
        <v>2500</v>
      </c>
      <c r="I61" s="145" t="s">
        <v>68</v>
      </c>
      <c r="J61" s="71"/>
      <c r="K61" s="32">
        <f t="shared" si="59"/>
        <v>30000</v>
      </c>
      <c r="L61" s="32">
        <f t="shared" si="60"/>
        <v>30000</v>
      </c>
      <c r="M61" s="32">
        <f t="shared" si="61"/>
        <v>30000</v>
      </c>
      <c r="O61" s="43"/>
    </row>
    <row r="62" spans="1:16" x14ac:dyDescent="0.25">
      <c r="A62" s="85" t="s">
        <v>85</v>
      </c>
      <c r="B62" s="9" t="s">
        <v>99</v>
      </c>
      <c r="C62" s="57">
        <f>C28</f>
        <v>80</v>
      </c>
      <c r="D62" s="83" t="s">
        <v>150</v>
      </c>
      <c r="E62" s="32">
        <v>750</v>
      </c>
      <c r="F62" s="71" t="s">
        <v>68</v>
      </c>
      <c r="G62" s="32">
        <f t="shared" ref="G62" si="62">C62*E62</f>
        <v>60000</v>
      </c>
      <c r="H62" s="144">
        <f t="shared" ref="H62" si="63">G62</f>
        <v>60000</v>
      </c>
      <c r="I62" s="145" t="s">
        <v>68</v>
      </c>
      <c r="J62" s="71"/>
      <c r="K62" s="32">
        <f t="shared" ref="K62" si="64">H62*$M$6</f>
        <v>720000</v>
      </c>
      <c r="L62" s="32">
        <f t="shared" ref="L62" si="65">K62</f>
        <v>720000</v>
      </c>
      <c r="M62" s="32">
        <f t="shared" ref="M62" si="66">L62</f>
        <v>720000</v>
      </c>
      <c r="O62" s="43"/>
    </row>
    <row r="63" spans="1:16" x14ac:dyDescent="0.25">
      <c r="A63" s="85" t="s">
        <v>95</v>
      </c>
      <c r="B63" s="9" t="s">
        <v>126</v>
      </c>
      <c r="C63" s="57">
        <f>C29*5</f>
        <v>20</v>
      </c>
      <c r="D63" s="83" t="s">
        <v>157</v>
      </c>
      <c r="E63" s="32">
        <v>320</v>
      </c>
      <c r="F63" s="49" t="s">
        <v>68</v>
      </c>
      <c r="G63" s="32">
        <f t="shared" si="48"/>
        <v>6400</v>
      </c>
      <c r="H63" s="144">
        <f t="shared" si="49"/>
        <v>6400</v>
      </c>
      <c r="I63" s="145" t="s">
        <v>68</v>
      </c>
      <c r="J63" s="49"/>
      <c r="K63" s="32">
        <f t="shared" si="50"/>
        <v>76800</v>
      </c>
      <c r="L63" s="32">
        <f t="shared" si="51"/>
        <v>76800</v>
      </c>
      <c r="M63" s="32">
        <f t="shared" si="51"/>
        <v>76800</v>
      </c>
      <c r="O63" s="43"/>
    </row>
    <row r="64" spans="1:16" x14ac:dyDescent="0.25">
      <c r="A64" s="85" t="s">
        <v>96</v>
      </c>
      <c r="B64" s="9" t="s">
        <v>131</v>
      </c>
      <c r="C64" s="57">
        <f>C30*96</f>
        <v>288</v>
      </c>
      <c r="D64" s="71" t="s">
        <v>146</v>
      </c>
      <c r="E64" s="32">
        <v>15</v>
      </c>
      <c r="F64" s="71" t="s">
        <v>68</v>
      </c>
      <c r="G64" s="32">
        <f t="shared" ref="G64" si="67">C64*E64</f>
        <v>4320</v>
      </c>
      <c r="H64" s="144">
        <f t="shared" ref="H64" si="68">G64</f>
        <v>4320</v>
      </c>
      <c r="I64" s="145" t="s">
        <v>68</v>
      </c>
      <c r="J64" s="71"/>
      <c r="K64" s="32">
        <f t="shared" ref="K64" si="69">H64*$M$6</f>
        <v>51840</v>
      </c>
      <c r="L64" s="32">
        <f t="shared" ref="L64" si="70">K64</f>
        <v>51840</v>
      </c>
      <c r="M64" s="32">
        <f t="shared" ref="M64" si="71">L64</f>
        <v>51840</v>
      </c>
      <c r="O64" s="43"/>
    </row>
    <row r="65" spans="1:17" x14ac:dyDescent="0.25">
      <c r="A65" s="85" t="s">
        <v>97</v>
      </c>
      <c r="B65" s="9" t="s">
        <v>129</v>
      </c>
      <c r="C65" s="57">
        <f>C31*45</f>
        <v>225</v>
      </c>
      <c r="D65" s="83" t="s">
        <v>146</v>
      </c>
      <c r="E65" s="32">
        <v>10</v>
      </c>
      <c r="F65" s="71" t="s">
        <v>68</v>
      </c>
      <c r="G65" s="32">
        <f>C65*E65</f>
        <v>2250</v>
      </c>
      <c r="H65" s="144">
        <f>G65</f>
        <v>2250</v>
      </c>
      <c r="I65" s="145" t="s">
        <v>68</v>
      </c>
      <c r="J65" s="71"/>
      <c r="K65" s="32">
        <f>H65*$M$6</f>
        <v>27000</v>
      </c>
      <c r="L65" s="32">
        <f>K65</f>
        <v>27000</v>
      </c>
      <c r="M65" s="32">
        <f>L65</f>
        <v>27000</v>
      </c>
      <c r="O65" s="43"/>
    </row>
    <row r="66" spans="1:17" x14ac:dyDescent="0.25">
      <c r="A66" s="85" t="s">
        <v>108</v>
      </c>
      <c r="B66" s="9" t="s">
        <v>130</v>
      </c>
      <c r="C66" s="57">
        <f>C32*150</f>
        <v>750</v>
      </c>
      <c r="D66" s="83" t="s">
        <v>146</v>
      </c>
      <c r="E66" s="32">
        <v>3</v>
      </c>
      <c r="F66" s="49" t="s">
        <v>68</v>
      </c>
      <c r="G66" s="32">
        <f>C66*E66</f>
        <v>2250</v>
      </c>
      <c r="H66" s="144">
        <f>G66</f>
        <v>2250</v>
      </c>
      <c r="I66" s="145" t="s">
        <v>68</v>
      </c>
      <c r="J66" s="49"/>
      <c r="K66" s="32">
        <f>H66*$M$6</f>
        <v>27000</v>
      </c>
      <c r="L66" s="32">
        <f>K66</f>
        <v>27000</v>
      </c>
      <c r="M66" s="32">
        <f>L66</f>
        <v>27000</v>
      </c>
      <c r="O66" s="43"/>
    </row>
    <row r="67" spans="1:17" x14ac:dyDescent="0.25">
      <c r="A67" s="85" t="s">
        <v>109</v>
      </c>
      <c r="B67" s="9" t="s">
        <v>133</v>
      </c>
      <c r="C67" s="57">
        <f>C33</f>
        <v>1</v>
      </c>
      <c r="D67" s="83" t="s">
        <v>145</v>
      </c>
      <c r="E67" s="32">
        <f>E33*1.3</f>
        <v>5200</v>
      </c>
      <c r="F67" s="49" t="s">
        <v>68</v>
      </c>
      <c r="G67" s="32">
        <f t="shared" si="48"/>
        <v>5200</v>
      </c>
      <c r="H67" s="144">
        <f t="shared" si="49"/>
        <v>5200</v>
      </c>
      <c r="I67" s="145" t="s">
        <v>68</v>
      </c>
      <c r="J67" s="49"/>
      <c r="K67" s="32">
        <f t="shared" si="50"/>
        <v>62400</v>
      </c>
      <c r="L67" s="32">
        <f t="shared" si="51"/>
        <v>62400</v>
      </c>
      <c r="M67" s="32">
        <f t="shared" si="51"/>
        <v>62400</v>
      </c>
      <c r="O67" s="43"/>
    </row>
    <row r="68" spans="1:17" x14ac:dyDescent="0.25">
      <c r="A68" s="85" t="s">
        <v>110</v>
      </c>
      <c r="B68" s="11" t="s">
        <v>226</v>
      </c>
      <c r="C68" s="50">
        <f t="shared" ref="C68:C73" si="72">C35</f>
        <v>30</v>
      </c>
      <c r="D68" s="83" t="s">
        <v>146</v>
      </c>
      <c r="E68" s="64">
        <v>300</v>
      </c>
      <c r="F68" s="50" t="s">
        <v>68</v>
      </c>
      <c r="G68" s="64">
        <f t="shared" ref="G68:G73" si="73">C68*E68</f>
        <v>9000</v>
      </c>
      <c r="H68" s="155">
        <f t="shared" ref="H68:H73" si="74">G68</f>
        <v>9000</v>
      </c>
      <c r="I68" s="145" t="s">
        <v>68</v>
      </c>
      <c r="J68" s="50"/>
      <c r="K68" s="64">
        <f t="shared" ref="K68:K73" si="75">H68*$M$6</f>
        <v>108000</v>
      </c>
      <c r="L68" s="64">
        <f t="shared" ref="L68:L73" si="76">K68</f>
        <v>108000</v>
      </c>
      <c r="M68" s="64">
        <f t="shared" ref="M68:M73" si="77">L68</f>
        <v>108000</v>
      </c>
      <c r="N68" s="75"/>
      <c r="O68" s="43"/>
    </row>
    <row r="69" spans="1:17" x14ac:dyDescent="0.25">
      <c r="A69" s="85" t="s">
        <v>138</v>
      </c>
      <c r="B69" s="9" t="s">
        <v>227</v>
      </c>
      <c r="C69" s="46">
        <f t="shared" si="72"/>
        <v>24</v>
      </c>
      <c r="D69" s="83" t="s">
        <v>146</v>
      </c>
      <c r="E69" s="32">
        <v>25</v>
      </c>
      <c r="F69" s="46" t="s">
        <v>68</v>
      </c>
      <c r="G69" s="32">
        <f t="shared" si="73"/>
        <v>600</v>
      </c>
      <c r="H69" s="144">
        <f t="shared" si="74"/>
        <v>600</v>
      </c>
      <c r="I69" s="145" t="s">
        <v>68</v>
      </c>
      <c r="J69" s="46"/>
      <c r="K69" s="32">
        <f t="shared" si="75"/>
        <v>7200</v>
      </c>
      <c r="L69" s="32">
        <f t="shared" si="76"/>
        <v>7200</v>
      </c>
      <c r="M69" s="32">
        <f t="shared" si="77"/>
        <v>7200</v>
      </c>
      <c r="O69" s="43"/>
    </row>
    <row r="70" spans="1:17" x14ac:dyDescent="0.25">
      <c r="A70" s="85" t="s">
        <v>139</v>
      </c>
      <c r="B70" s="9" t="s">
        <v>228</v>
      </c>
      <c r="C70" s="46">
        <f t="shared" si="72"/>
        <v>24</v>
      </c>
      <c r="D70" s="83" t="s">
        <v>146</v>
      </c>
      <c r="E70" s="32">
        <v>60</v>
      </c>
      <c r="F70" s="46" t="s">
        <v>68</v>
      </c>
      <c r="G70" s="32">
        <f t="shared" si="73"/>
        <v>1440</v>
      </c>
      <c r="H70" s="144">
        <f t="shared" si="74"/>
        <v>1440</v>
      </c>
      <c r="I70" s="145" t="s">
        <v>68</v>
      </c>
      <c r="J70" s="46"/>
      <c r="K70" s="32">
        <f t="shared" si="75"/>
        <v>17280</v>
      </c>
      <c r="L70" s="32">
        <f t="shared" si="76"/>
        <v>17280</v>
      </c>
      <c r="M70" s="32">
        <f t="shared" si="77"/>
        <v>17280</v>
      </c>
      <c r="O70" s="43"/>
    </row>
    <row r="71" spans="1:17" x14ac:dyDescent="0.25">
      <c r="A71" s="85" t="s">
        <v>140</v>
      </c>
      <c r="B71" s="9" t="s">
        <v>229</v>
      </c>
      <c r="C71" s="71">
        <f t="shared" si="72"/>
        <v>12</v>
      </c>
      <c r="D71" s="83" t="s">
        <v>146</v>
      </c>
      <c r="E71" s="32">
        <v>10</v>
      </c>
      <c r="F71" s="71" t="s">
        <v>68</v>
      </c>
      <c r="G71" s="32">
        <f t="shared" ref="G71:G72" si="78">C71*E71</f>
        <v>120</v>
      </c>
      <c r="H71" s="144">
        <f t="shared" ref="H71:H72" si="79">G71</f>
        <v>120</v>
      </c>
      <c r="I71" s="145" t="s">
        <v>68</v>
      </c>
      <c r="J71" s="71"/>
      <c r="K71" s="32">
        <f t="shared" ref="K71:K72" si="80">H71*$M$6</f>
        <v>1440</v>
      </c>
      <c r="L71" s="32">
        <f t="shared" ref="L71:L72" si="81">K71</f>
        <v>1440</v>
      </c>
      <c r="M71" s="32">
        <f t="shared" ref="M71:M72" si="82">L71</f>
        <v>1440</v>
      </c>
      <c r="O71" s="43"/>
    </row>
    <row r="72" spans="1:17" x14ac:dyDescent="0.25">
      <c r="A72" s="85" t="s">
        <v>141</v>
      </c>
      <c r="B72" s="9" t="s">
        <v>230</v>
      </c>
      <c r="C72" s="71">
        <f t="shared" si="72"/>
        <v>24</v>
      </c>
      <c r="D72" s="83" t="s">
        <v>146</v>
      </c>
      <c r="E72" s="32">
        <v>45</v>
      </c>
      <c r="F72" s="71" t="s">
        <v>68</v>
      </c>
      <c r="G72" s="32">
        <f t="shared" si="78"/>
        <v>1080</v>
      </c>
      <c r="H72" s="144">
        <f t="shared" si="79"/>
        <v>1080</v>
      </c>
      <c r="I72" s="145" t="s">
        <v>68</v>
      </c>
      <c r="J72" s="71"/>
      <c r="K72" s="32">
        <f t="shared" si="80"/>
        <v>12960</v>
      </c>
      <c r="L72" s="32">
        <f t="shared" si="81"/>
        <v>12960</v>
      </c>
      <c r="M72" s="32">
        <f t="shared" si="82"/>
        <v>12960</v>
      </c>
      <c r="O72" s="43"/>
    </row>
    <row r="73" spans="1:17" x14ac:dyDescent="0.25">
      <c r="A73" s="71" t="s">
        <v>142</v>
      </c>
      <c r="B73" s="9" t="s">
        <v>231</v>
      </c>
      <c r="C73" s="46">
        <f t="shared" si="72"/>
        <v>10</v>
      </c>
      <c r="D73" s="83" t="s">
        <v>146</v>
      </c>
      <c r="E73" s="32">
        <v>500</v>
      </c>
      <c r="F73" s="46" t="s">
        <v>68</v>
      </c>
      <c r="G73" s="32">
        <f t="shared" si="73"/>
        <v>5000</v>
      </c>
      <c r="H73" s="144">
        <f t="shared" si="74"/>
        <v>5000</v>
      </c>
      <c r="I73" s="145" t="s">
        <v>68</v>
      </c>
      <c r="J73" s="46"/>
      <c r="K73" s="32">
        <f t="shared" si="75"/>
        <v>60000</v>
      </c>
      <c r="L73" s="32">
        <f t="shared" si="76"/>
        <v>60000</v>
      </c>
      <c r="M73" s="32">
        <f t="shared" si="77"/>
        <v>60000</v>
      </c>
      <c r="O73" s="43"/>
    </row>
    <row r="74" spans="1:17" x14ac:dyDescent="0.25">
      <c r="A74" s="87"/>
      <c r="C74" s="87"/>
      <c r="D74" s="50"/>
      <c r="E74" s="32"/>
      <c r="F74" s="87"/>
      <c r="G74" s="32"/>
      <c r="H74" s="144"/>
      <c r="I74" s="145"/>
      <c r="J74" s="50"/>
      <c r="K74" s="32"/>
      <c r="L74" s="32"/>
      <c r="M74" s="32"/>
      <c r="P74" s="9"/>
    </row>
    <row r="75" spans="1:17" x14ac:dyDescent="0.25">
      <c r="A75" s="21"/>
      <c r="B75" s="126" t="s">
        <v>208</v>
      </c>
      <c r="C75" s="19"/>
      <c r="D75" s="19"/>
      <c r="E75" s="24"/>
      <c r="F75" s="24"/>
      <c r="G75" s="24"/>
      <c r="H75" s="142"/>
      <c r="I75" s="143"/>
      <c r="J75" s="87"/>
      <c r="K75" s="30"/>
      <c r="L75" s="30"/>
      <c r="M75" s="30"/>
      <c r="N75" s="54"/>
      <c r="O75" s="2"/>
      <c r="P75" s="9"/>
    </row>
    <row r="76" spans="1:17" s="131" customFormat="1" x14ac:dyDescent="0.25">
      <c r="A76" s="162" t="s">
        <v>209</v>
      </c>
      <c r="B76" s="163" t="s">
        <v>210</v>
      </c>
      <c r="C76" s="162">
        <v>1</v>
      </c>
      <c r="D76" s="162" t="s">
        <v>145</v>
      </c>
      <c r="E76" s="164">
        <f>((SUM(G52:G54)-SUM(G17:G21)))*52/12</f>
        <v>5980</v>
      </c>
      <c r="F76" s="162" t="s">
        <v>68</v>
      </c>
      <c r="G76" s="164">
        <f t="shared" ref="G76:G81" si="83">C76*E76</f>
        <v>5980</v>
      </c>
      <c r="H76" s="165"/>
      <c r="I76" s="166" t="s">
        <v>68</v>
      </c>
      <c r="J76" s="167"/>
      <c r="K76" s="164"/>
      <c r="L76" s="164">
        <f t="shared" ref="L76:L81" si="84">G76*$M$6</f>
        <v>71760</v>
      </c>
      <c r="M76" s="164">
        <f t="shared" ref="M76:M81" si="85">L76</f>
        <v>71760</v>
      </c>
      <c r="N76" s="168" t="s">
        <v>211</v>
      </c>
      <c r="P76" s="169"/>
    </row>
    <row r="77" spans="1:17" s="131" customFormat="1" ht="30" x14ac:dyDescent="0.25">
      <c r="A77" s="162" t="s">
        <v>212</v>
      </c>
      <c r="B77" s="163" t="s">
        <v>213</v>
      </c>
      <c r="C77" s="162">
        <v>1</v>
      </c>
      <c r="D77" s="162" t="s">
        <v>145</v>
      </c>
      <c r="E77" s="164">
        <f>(SUM(G56:G67)-SUM(G23:G34))*0.25</f>
        <v>4078.75</v>
      </c>
      <c r="F77" s="162" t="s">
        <v>68</v>
      </c>
      <c r="G77" s="164">
        <f>C77*E77</f>
        <v>4078.75</v>
      </c>
      <c r="H77" s="165"/>
      <c r="I77" s="166" t="s">
        <v>68</v>
      </c>
      <c r="J77" s="167"/>
      <c r="K77" s="164"/>
      <c r="L77" s="164">
        <f t="shared" si="84"/>
        <v>48945</v>
      </c>
      <c r="M77" s="164">
        <f t="shared" si="85"/>
        <v>48945</v>
      </c>
      <c r="N77" s="170" t="s">
        <v>214</v>
      </c>
      <c r="Q77" s="169"/>
    </row>
    <row r="78" spans="1:17" s="171" customFormat="1" x14ac:dyDescent="0.25">
      <c r="A78" s="162" t="s">
        <v>215</v>
      </c>
      <c r="B78" s="163" t="s">
        <v>216</v>
      </c>
      <c r="C78" s="162">
        <v>1</v>
      </c>
      <c r="D78" s="162" t="s">
        <v>145</v>
      </c>
      <c r="E78" s="164">
        <v>12000</v>
      </c>
      <c r="F78" s="162" t="s">
        <v>68</v>
      </c>
      <c r="G78" s="164">
        <f t="shared" si="83"/>
        <v>12000</v>
      </c>
      <c r="H78" s="165"/>
      <c r="I78" s="166" t="s">
        <v>68</v>
      </c>
      <c r="J78" s="167"/>
      <c r="K78" s="164"/>
      <c r="L78" s="164">
        <f t="shared" si="84"/>
        <v>144000</v>
      </c>
      <c r="M78" s="164">
        <f t="shared" si="85"/>
        <v>144000</v>
      </c>
      <c r="N78" s="170"/>
      <c r="P78" s="169"/>
      <c r="Q78" s="172"/>
    </row>
    <row r="79" spans="1:17" s="171" customFormat="1" x14ac:dyDescent="0.25">
      <c r="A79" s="162" t="s">
        <v>217</v>
      </c>
      <c r="B79" s="163" t="s">
        <v>218</v>
      </c>
      <c r="C79" s="162">
        <v>1</v>
      </c>
      <c r="D79" s="162" t="s">
        <v>145</v>
      </c>
      <c r="E79" s="164">
        <v>10000</v>
      </c>
      <c r="F79" s="162" t="s">
        <v>68</v>
      </c>
      <c r="G79" s="164">
        <f t="shared" si="83"/>
        <v>10000</v>
      </c>
      <c r="H79" s="165"/>
      <c r="I79" s="166" t="s">
        <v>68</v>
      </c>
      <c r="J79" s="167"/>
      <c r="K79" s="164"/>
      <c r="L79" s="164">
        <f t="shared" si="84"/>
        <v>120000</v>
      </c>
      <c r="M79" s="164">
        <f t="shared" si="85"/>
        <v>120000</v>
      </c>
      <c r="N79" s="170"/>
      <c r="P79" s="169"/>
      <c r="Q79" s="172"/>
    </row>
    <row r="80" spans="1:17" s="131" customFormat="1" x14ac:dyDescent="0.25">
      <c r="A80" s="162" t="s">
        <v>219</v>
      </c>
      <c r="B80" s="163" t="s">
        <v>220</v>
      </c>
      <c r="C80" s="162">
        <v>1</v>
      </c>
      <c r="D80" s="162" t="s">
        <v>145</v>
      </c>
      <c r="E80" s="164">
        <v>5000</v>
      </c>
      <c r="F80" s="162" t="s">
        <v>68</v>
      </c>
      <c r="G80" s="164">
        <f t="shared" si="83"/>
        <v>5000</v>
      </c>
      <c r="H80" s="165"/>
      <c r="I80" s="166" t="s">
        <v>68</v>
      </c>
      <c r="J80" s="167"/>
      <c r="K80" s="164"/>
      <c r="L80" s="164">
        <f t="shared" si="84"/>
        <v>60000</v>
      </c>
      <c r="M80" s="164">
        <f t="shared" si="85"/>
        <v>60000</v>
      </c>
      <c r="N80" s="168"/>
      <c r="Q80" s="169"/>
    </row>
    <row r="81" spans="1:17" s="131" customFormat="1" x14ac:dyDescent="0.25">
      <c r="A81" s="162" t="s">
        <v>221</v>
      </c>
      <c r="B81" s="163" t="s">
        <v>222</v>
      </c>
      <c r="C81" s="162">
        <v>1</v>
      </c>
      <c r="D81" s="162" t="s">
        <v>145</v>
      </c>
      <c r="E81" s="164">
        <v>2500</v>
      </c>
      <c r="F81" s="162" t="s">
        <v>68</v>
      </c>
      <c r="G81" s="164">
        <f t="shared" si="83"/>
        <v>2500</v>
      </c>
      <c r="H81" s="165"/>
      <c r="I81" s="166" t="s">
        <v>68</v>
      </c>
      <c r="J81" s="167"/>
      <c r="K81" s="164"/>
      <c r="L81" s="164">
        <f t="shared" si="84"/>
        <v>30000</v>
      </c>
      <c r="M81" s="164">
        <f t="shared" si="85"/>
        <v>30000</v>
      </c>
      <c r="N81" s="168"/>
      <c r="Q81" s="169"/>
    </row>
    <row r="82" spans="1:17" x14ac:dyDescent="0.25">
      <c r="A82" s="46"/>
      <c r="C82" s="46"/>
      <c r="D82" s="46"/>
      <c r="E82" s="46"/>
      <c r="F82" s="46"/>
      <c r="G82" s="32"/>
      <c r="H82" s="144"/>
      <c r="I82" s="145"/>
      <c r="J82" s="46"/>
      <c r="K82" s="32"/>
      <c r="L82" s="32"/>
      <c r="M82" s="32"/>
    </row>
    <row r="83" spans="1:17" s="7" customFormat="1" x14ac:dyDescent="0.25">
      <c r="A83" s="25" t="s">
        <v>12</v>
      </c>
      <c r="B83" s="191" t="s">
        <v>0</v>
      </c>
      <c r="C83" s="191"/>
      <c r="D83" s="191"/>
      <c r="E83" s="191"/>
      <c r="F83" s="191"/>
      <c r="G83" s="31"/>
      <c r="H83" s="151">
        <f>SUM(H52:H73)</f>
        <v>165060</v>
      </c>
      <c r="I83" s="152" t="s">
        <v>68</v>
      </c>
      <c r="J83" s="8"/>
      <c r="K83" s="31">
        <f>SUM(K52:K82)</f>
        <v>1980720</v>
      </c>
      <c r="L83" s="31">
        <f>SUM(L52:L82)</f>
        <v>2455425</v>
      </c>
      <c r="M83" s="31">
        <f>SUM(M52:M82)</f>
        <v>2455425</v>
      </c>
      <c r="N83" s="55"/>
      <c r="P83" s="73"/>
    </row>
    <row r="84" spans="1:17" x14ac:dyDescent="0.25">
      <c r="H84" s="156"/>
      <c r="I84" s="157"/>
      <c r="J84" s="10"/>
    </row>
    <row r="85" spans="1:17" ht="18.75" x14ac:dyDescent="0.25">
      <c r="A85" s="194" t="s">
        <v>48</v>
      </c>
      <c r="B85" s="194"/>
      <c r="C85" s="194"/>
      <c r="D85" s="194"/>
      <c r="E85" s="194"/>
      <c r="F85" s="194"/>
      <c r="G85" s="194"/>
      <c r="H85" s="211" t="s">
        <v>207</v>
      </c>
      <c r="I85" s="212"/>
      <c r="J85" s="10"/>
      <c r="K85" s="34" t="s">
        <v>55</v>
      </c>
      <c r="L85" s="34" t="s">
        <v>54</v>
      </c>
      <c r="M85" s="34" t="s">
        <v>56</v>
      </c>
      <c r="N85" s="52"/>
    </row>
    <row r="86" spans="1:17" x14ac:dyDescent="0.25">
      <c r="A86" s="8" t="s">
        <v>7</v>
      </c>
      <c r="B86" s="217" t="s">
        <v>26</v>
      </c>
      <c r="C86" s="217"/>
      <c r="D86" s="217"/>
      <c r="E86" s="217"/>
      <c r="F86" s="217"/>
      <c r="G86" s="32"/>
      <c r="H86" s="144">
        <f>H47</f>
        <v>140572</v>
      </c>
      <c r="I86" s="145" t="s">
        <v>68</v>
      </c>
      <c r="J86" s="10"/>
      <c r="K86" s="32">
        <f>K47</f>
        <v>1686864</v>
      </c>
      <c r="L86" s="32">
        <f>L47</f>
        <v>1689864</v>
      </c>
      <c r="M86" s="32">
        <f>M47</f>
        <v>1689864</v>
      </c>
    </row>
    <row r="87" spans="1:17" x14ac:dyDescent="0.25">
      <c r="A87" s="8" t="s">
        <v>12</v>
      </c>
      <c r="B87" s="217" t="s">
        <v>49</v>
      </c>
      <c r="C87" s="217"/>
      <c r="D87" s="217"/>
      <c r="E87" s="217"/>
      <c r="F87" s="217"/>
      <c r="G87" s="32"/>
      <c r="H87" s="144">
        <f>H83</f>
        <v>165060</v>
      </c>
      <c r="I87" s="145" t="s">
        <v>68</v>
      </c>
      <c r="J87" s="10"/>
      <c r="K87" s="32">
        <f>K83</f>
        <v>1980720</v>
      </c>
      <c r="L87" s="32">
        <f>L83</f>
        <v>2455425</v>
      </c>
      <c r="M87" s="32">
        <f>M83</f>
        <v>2455425</v>
      </c>
    </row>
    <row r="88" spans="1:17" s="7" customFormat="1" x14ac:dyDescent="0.25">
      <c r="A88" s="20"/>
      <c r="B88" s="216" t="s">
        <v>65</v>
      </c>
      <c r="C88" s="216"/>
      <c r="D88" s="216"/>
      <c r="E88" s="216"/>
      <c r="F88" s="216"/>
      <c r="G88" s="31"/>
      <c r="H88" s="151">
        <f>H87-H86</f>
        <v>24488</v>
      </c>
      <c r="I88" s="152" t="s">
        <v>68</v>
      </c>
      <c r="J88" s="8"/>
      <c r="K88" s="31">
        <f>K87-K86</f>
        <v>293856</v>
      </c>
      <c r="L88" s="31">
        <f>L87-L86</f>
        <v>765561</v>
      </c>
      <c r="M88" s="31">
        <f>M87-M86</f>
        <v>765561</v>
      </c>
      <c r="N88" s="55"/>
      <c r="P88" s="73"/>
    </row>
    <row r="89" spans="1:17" x14ac:dyDescent="0.25">
      <c r="A89" s="41" t="s">
        <v>9</v>
      </c>
      <c r="B89" s="218" t="s">
        <v>30</v>
      </c>
      <c r="C89" s="218"/>
      <c r="D89" s="218"/>
      <c r="E89" s="218"/>
      <c r="F89" s="218"/>
      <c r="G89" s="42"/>
      <c r="H89" s="158"/>
      <c r="I89" s="159"/>
      <c r="J89" s="10"/>
      <c r="K89" s="32"/>
      <c r="L89" s="42">
        <f>'Info general'!H21</f>
        <v>1050</v>
      </c>
      <c r="M89" s="42">
        <f>'Info general'!H21</f>
        <v>1050</v>
      </c>
      <c r="N89" s="56"/>
    </row>
    <row r="90" spans="1:17" s="7" customFormat="1" ht="15.75" thickBot="1" x14ac:dyDescent="0.3">
      <c r="A90" s="20"/>
      <c r="B90" s="216" t="s">
        <v>66</v>
      </c>
      <c r="C90" s="216"/>
      <c r="D90" s="216"/>
      <c r="E90" s="216"/>
      <c r="F90" s="216"/>
      <c r="G90" s="31"/>
      <c r="H90" s="160">
        <f>H88-H89</f>
        <v>24488</v>
      </c>
      <c r="I90" s="161" t="s">
        <v>68</v>
      </c>
      <c r="J90" s="8"/>
      <c r="K90" s="31">
        <f>K88-K89</f>
        <v>293856</v>
      </c>
      <c r="L90" s="31">
        <f t="shared" ref="L90:M90" si="86">L88-L89</f>
        <v>764511</v>
      </c>
      <c r="M90" s="31">
        <f t="shared" si="86"/>
        <v>764511</v>
      </c>
      <c r="N90" s="55"/>
      <c r="P90" s="73"/>
    </row>
    <row r="91" spans="1:17" x14ac:dyDescent="0.25">
      <c r="A91" s="3"/>
      <c r="B91" s="3"/>
      <c r="C91" s="3"/>
      <c r="D91" s="3"/>
      <c r="E91" s="3"/>
      <c r="J91" s="10"/>
      <c r="O91" s="44"/>
      <c r="Q91" s="45"/>
    </row>
    <row r="92" spans="1:17" ht="15.75" thickBot="1" x14ac:dyDescent="0.3">
      <c r="G92" s="43"/>
      <c r="J92" s="10"/>
    </row>
    <row r="93" spans="1:17" s="179" customFormat="1" ht="15.75" x14ac:dyDescent="0.25">
      <c r="A93" s="213" t="s">
        <v>233</v>
      </c>
      <c r="B93" s="214"/>
      <c r="C93" s="214"/>
      <c r="D93" s="214"/>
      <c r="E93" s="214"/>
      <c r="F93" s="214"/>
      <c r="G93" s="214"/>
      <c r="H93" s="213" t="s">
        <v>103</v>
      </c>
      <c r="I93" s="215"/>
      <c r="J93" s="175"/>
      <c r="K93" s="176" t="s">
        <v>55</v>
      </c>
      <c r="L93" s="177" t="s">
        <v>54</v>
      </c>
      <c r="M93" s="178" t="s">
        <v>56</v>
      </c>
      <c r="N93" s="51"/>
    </row>
    <row r="94" spans="1:17" x14ac:dyDescent="0.25">
      <c r="A94" s="180" t="s">
        <v>9</v>
      </c>
      <c r="B94" s="207" t="s">
        <v>234</v>
      </c>
      <c r="C94" s="207"/>
      <c r="D94" s="207"/>
      <c r="E94" s="207"/>
      <c r="F94" s="207"/>
      <c r="G94" s="77"/>
      <c r="H94" s="181"/>
      <c r="I94" s="182"/>
      <c r="J94" s="183"/>
      <c r="K94" s="181">
        <f>+'Info general'!F21</f>
        <v>12500</v>
      </c>
      <c r="L94" s="77">
        <f>+'Info general'!F31</f>
        <v>74500</v>
      </c>
      <c r="M94" s="182">
        <v>0</v>
      </c>
      <c r="P94" s="9"/>
    </row>
    <row r="95" spans="1:17" x14ac:dyDescent="0.25">
      <c r="A95" s="180" t="s">
        <v>9</v>
      </c>
      <c r="B95" s="207" t="s">
        <v>30</v>
      </c>
      <c r="C95" s="207"/>
      <c r="D95" s="207"/>
      <c r="E95" s="207"/>
      <c r="F95" s="207"/>
      <c r="G95" s="77"/>
      <c r="H95" s="181"/>
      <c r="I95" s="182"/>
      <c r="J95" s="183"/>
      <c r="K95" s="181"/>
      <c r="L95" s="77">
        <f>+'Info general'!H21</f>
        <v>1050</v>
      </c>
      <c r="M95" s="182">
        <f>+'Info general'!H21+'Info general'!H31</f>
        <v>13900</v>
      </c>
      <c r="P95" s="43"/>
    </row>
    <row r="96" spans="1:17" x14ac:dyDescent="0.25">
      <c r="A96" s="180" t="s">
        <v>7</v>
      </c>
      <c r="B96" s="207" t="s">
        <v>235</v>
      </c>
      <c r="C96" s="207"/>
      <c r="D96" s="207"/>
      <c r="E96" s="207"/>
      <c r="F96" s="207"/>
      <c r="G96" s="77"/>
      <c r="H96" s="181">
        <f>+SUM(H10:H14)</f>
        <v>1925</v>
      </c>
      <c r="I96" s="182" t="s">
        <v>68</v>
      </c>
      <c r="J96" s="183"/>
      <c r="K96" s="181">
        <f t="shared" ref="K96" si="87">+SUM(K10:K14)</f>
        <v>23100</v>
      </c>
      <c r="L96" s="77">
        <f>+SUM(L10:L14)+L45</f>
        <v>26100</v>
      </c>
      <c r="M96" s="182">
        <f>+SUM(M10:M14)+M45</f>
        <v>26100</v>
      </c>
      <c r="P96" s="43"/>
    </row>
    <row r="97" spans="1:16" x14ac:dyDescent="0.25">
      <c r="A97" s="180" t="s">
        <v>7</v>
      </c>
      <c r="B97" s="207" t="s">
        <v>236</v>
      </c>
      <c r="C97" s="207"/>
      <c r="D97" s="207"/>
      <c r="E97" s="207"/>
      <c r="F97" s="207"/>
      <c r="G97" s="77"/>
      <c r="H97" s="181">
        <f>H47-H96</f>
        <v>138647</v>
      </c>
      <c r="I97" s="182" t="s">
        <v>68</v>
      </c>
      <c r="J97" s="183"/>
      <c r="K97" s="181">
        <f t="shared" ref="K97:M97" si="88">K47-K96</f>
        <v>1663764</v>
      </c>
      <c r="L97" s="77">
        <f t="shared" si="88"/>
        <v>1663764</v>
      </c>
      <c r="M97" s="182">
        <f t="shared" si="88"/>
        <v>1663764</v>
      </c>
      <c r="P97" s="43"/>
    </row>
    <row r="98" spans="1:16" x14ac:dyDescent="0.25">
      <c r="A98" s="180" t="s">
        <v>12</v>
      </c>
      <c r="B98" s="207" t="s">
        <v>237</v>
      </c>
      <c r="C98" s="207"/>
      <c r="D98" s="207"/>
      <c r="E98" s="207"/>
      <c r="F98" s="207"/>
      <c r="G98" s="77"/>
      <c r="H98" s="181">
        <f>+H83</f>
        <v>165060</v>
      </c>
      <c r="I98" s="182" t="s">
        <v>68</v>
      </c>
      <c r="J98" s="183"/>
      <c r="K98" s="181">
        <f t="shared" ref="K98:M98" si="89">+K83</f>
        <v>1980720</v>
      </c>
      <c r="L98" s="77">
        <f t="shared" si="89"/>
        <v>2455425</v>
      </c>
      <c r="M98" s="182">
        <f t="shared" si="89"/>
        <v>2455425</v>
      </c>
      <c r="P98" s="43"/>
    </row>
    <row r="99" spans="1:16" s="189" customFormat="1" ht="16.5" thickBot="1" x14ac:dyDescent="0.3">
      <c r="A99" s="184"/>
      <c r="B99" s="206" t="s">
        <v>66</v>
      </c>
      <c r="C99" s="206"/>
      <c r="D99" s="206"/>
      <c r="E99" s="206"/>
      <c r="F99" s="206"/>
      <c r="G99" s="185"/>
      <c r="H99" s="186">
        <f>H98-H97-H96-H94-H95</f>
        <v>24488</v>
      </c>
      <c r="I99" s="187" t="s">
        <v>68</v>
      </c>
      <c r="J99" s="188"/>
      <c r="K99" s="186">
        <f>K98-K97-K96</f>
        <v>293856</v>
      </c>
      <c r="L99" s="185">
        <f>L98-L97-L96-L95-L94</f>
        <v>690011</v>
      </c>
      <c r="M99" s="187">
        <f>M98-M97-M96-M95-M94</f>
        <v>751661</v>
      </c>
      <c r="N99" s="51"/>
      <c r="P99" s="190"/>
    </row>
    <row r="100" spans="1:16" x14ac:dyDescent="0.25">
      <c r="J100" s="10"/>
    </row>
    <row r="101" spans="1:16" x14ac:dyDescent="0.25">
      <c r="J101" s="10"/>
    </row>
    <row r="102" spans="1:16" x14ac:dyDescent="0.25">
      <c r="J102" s="10"/>
    </row>
    <row r="103" spans="1:16" x14ac:dyDescent="0.25">
      <c r="J103" s="10"/>
    </row>
    <row r="104" spans="1:16" x14ac:dyDescent="0.25">
      <c r="J104" s="10"/>
    </row>
    <row r="105" spans="1:16" x14ac:dyDescent="0.25">
      <c r="A105" s="11"/>
      <c r="B105" s="11"/>
      <c r="J105" s="10"/>
    </row>
    <row r="106" spans="1:16" x14ac:dyDescent="0.25">
      <c r="A106" s="11"/>
      <c r="B106" s="11"/>
      <c r="J106" s="10"/>
    </row>
    <row r="107" spans="1:16" x14ac:dyDescent="0.25">
      <c r="A107" s="11"/>
      <c r="B107" s="11"/>
      <c r="J107" s="10"/>
    </row>
    <row r="108" spans="1:16" x14ac:dyDescent="0.25">
      <c r="A108" s="11"/>
      <c r="B108" s="11"/>
      <c r="J108" s="10"/>
    </row>
    <row r="109" spans="1:16" x14ac:dyDescent="0.25">
      <c r="A109" s="11"/>
      <c r="B109" s="11"/>
      <c r="J109" s="10"/>
    </row>
    <row r="110" spans="1:16" x14ac:dyDescent="0.25">
      <c r="B110" s="11"/>
      <c r="J110" s="10"/>
    </row>
    <row r="111" spans="1:16" x14ac:dyDescent="0.25">
      <c r="J111" s="10"/>
    </row>
    <row r="112" spans="1:16" x14ac:dyDescent="0.25">
      <c r="J112" s="10"/>
    </row>
    <row r="113" spans="10:10" x14ac:dyDescent="0.25">
      <c r="J113" s="10"/>
    </row>
    <row r="114" spans="10:10" x14ac:dyDescent="0.25">
      <c r="J114" s="10"/>
    </row>
    <row r="115" spans="10:10" x14ac:dyDescent="0.25">
      <c r="J115" s="10"/>
    </row>
    <row r="116" spans="10:10" x14ac:dyDescent="0.25">
      <c r="J116" s="10"/>
    </row>
    <row r="117" spans="10:10" x14ac:dyDescent="0.25">
      <c r="J117" s="10"/>
    </row>
  </sheetData>
  <mergeCells count="24">
    <mergeCell ref="B88:F88"/>
    <mergeCell ref="B89:F89"/>
    <mergeCell ref="A4:N4"/>
    <mergeCell ref="H8:I8"/>
    <mergeCell ref="H49:I49"/>
    <mergeCell ref="H85:I85"/>
    <mergeCell ref="A93:G93"/>
    <mergeCell ref="H93:I93"/>
    <mergeCell ref="B83:F83"/>
    <mergeCell ref="A6:E6"/>
    <mergeCell ref="F6:G6"/>
    <mergeCell ref="A8:G8"/>
    <mergeCell ref="B47:F47"/>
    <mergeCell ref="A49:G49"/>
    <mergeCell ref="B90:F90"/>
    <mergeCell ref="A85:G85"/>
    <mergeCell ref="B86:F86"/>
    <mergeCell ref="B87:F87"/>
    <mergeCell ref="B99:F99"/>
    <mergeCell ref="B94:F94"/>
    <mergeCell ref="B95:F95"/>
    <mergeCell ref="B96:F96"/>
    <mergeCell ref="B97:F97"/>
    <mergeCell ref="B98:F98"/>
  </mergeCells>
  <pageMargins left="0.70866141732283472" right="0.70866141732283472" top="0.74803149606299213" bottom="0.74803149606299213" header="0.31496062992125984" footer="0.31496062992125984"/>
  <pageSetup paperSize="9" scale="76" orientation="landscape" r:id="rId1"/>
  <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00000000-0002-0000-0100-000000000000}">
          <x14:formula1>
            <xm:f>'Info general'!$J$7:$J$15</xm:f>
          </x14:formula1>
          <xm:sqref>F6:G6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0C307C-0733-470A-8191-2220DC89F205}">
  <sheetPr>
    <pageSetUpPr fitToPage="1"/>
  </sheetPr>
  <dimension ref="A1:I85"/>
  <sheetViews>
    <sheetView zoomScale="85" zoomScaleNormal="85" workbookViewId="0"/>
  </sheetViews>
  <sheetFormatPr baseColWidth="10" defaultColWidth="10.85546875" defaultRowHeight="15" x14ac:dyDescent="0.25"/>
  <cols>
    <col min="1" max="1" width="46.5703125" style="111" customWidth="1"/>
    <col min="2" max="5" width="15.7109375" style="9" customWidth="1"/>
    <col min="6" max="6" width="31.42578125" style="66" customWidth="1"/>
    <col min="7" max="7" width="19.7109375" style="9" customWidth="1"/>
    <col min="8" max="16384" width="10.85546875" style="9"/>
  </cols>
  <sheetData>
    <row r="1" spans="1:8" ht="28.5" x14ac:dyDescent="0.25">
      <c r="A1" s="26" t="s">
        <v>165</v>
      </c>
      <c r="B1" s="5"/>
      <c r="C1" s="5"/>
      <c r="E1" s="85"/>
    </row>
    <row r="2" spans="1:8" x14ac:dyDescent="0.25">
      <c r="A2" s="1"/>
      <c r="B2" s="5"/>
      <c r="C2" s="5"/>
      <c r="E2" s="85"/>
    </row>
    <row r="3" spans="1:8" ht="18.75" x14ac:dyDescent="0.25">
      <c r="A3" s="27" t="s">
        <v>143</v>
      </c>
      <c r="E3" s="85"/>
    </row>
    <row r="4" spans="1:8" x14ac:dyDescent="0.25">
      <c r="A4" s="90"/>
      <c r="E4" s="85"/>
    </row>
    <row r="5" spans="1:8" ht="18.75" customHeight="1" x14ac:dyDescent="0.25">
      <c r="A5" s="91" t="s">
        <v>166</v>
      </c>
      <c r="B5" s="91"/>
      <c r="C5" s="91"/>
      <c r="D5" s="91"/>
      <c r="E5" s="91"/>
      <c r="F5" s="69"/>
      <c r="G5" s="38"/>
      <c r="H5" s="2"/>
    </row>
    <row r="6" spans="1:8" ht="18.75" customHeight="1" x14ac:dyDescent="0.25">
      <c r="A6" s="92"/>
      <c r="B6" s="14"/>
      <c r="C6" s="14"/>
      <c r="D6" s="14"/>
      <c r="E6" s="14"/>
      <c r="F6" s="67"/>
      <c r="G6" s="38"/>
      <c r="H6" s="2"/>
    </row>
    <row r="7" spans="1:8" ht="35.25" customHeight="1" x14ac:dyDescent="0.25">
      <c r="A7" s="93" t="s">
        <v>144</v>
      </c>
      <c r="B7" s="219" t="str">
        <f>'Info general'!C7</f>
        <v>Boutique / magasin de produits diverses, notamment produits alimentaires (denrées alimentaires de base, poisson et légumes), habilles, produits d’hygiène et recharge téléphonique.</v>
      </c>
      <c r="C7" s="220"/>
      <c r="D7" s="220"/>
      <c r="E7" s="220"/>
      <c r="F7" s="221"/>
      <c r="G7" s="38"/>
    </row>
    <row r="8" spans="1:8" ht="18" customHeight="1" x14ac:dyDescent="0.25">
      <c r="A8" s="93" t="s">
        <v>167</v>
      </c>
      <c r="B8" s="222" t="str">
        <f>'Info general'!C8</f>
        <v>Club de mères - Nidame</v>
      </c>
      <c r="C8" s="223"/>
      <c r="D8" s="223"/>
      <c r="E8" s="223"/>
      <c r="F8" s="224"/>
      <c r="G8" s="38"/>
    </row>
    <row r="9" spans="1:8" s="3" customFormat="1" x14ac:dyDescent="0.25">
      <c r="A9" s="94" t="s">
        <v>34</v>
      </c>
      <c r="B9" s="95">
        <v>85000</v>
      </c>
      <c r="C9" s="96"/>
      <c r="D9" s="29"/>
      <c r="E9" s="29"/>
      <c r="F9" s="13"/>
      <c r="G9" s="38"/>
    </row>
    <row r="10" spans="1:8" s="3" customFormat="1" ht="15.75" x14ac:dyDescent="0.25">
      <c r="A10" s="97"/>
      <c r="B10" s="79"/>
      <c r="C10" s="79"/>
      <c r="D10" s="79"/>
      <c r="E10" s="79"/>
      <c r="F10" s="79"/>
      <c r="G10" s="38"/>
    </row>
    <row r="11" spans="1:8" ht="18.75" x14ac:dyDescent="0.25">
      <c r="A11" s="98" t="s">
        <v>168</v>
      </c>
      <c r="B11" s="84"/>
      <c r="C11" s="84"/>
      <c r="D11" s="84"/>
      <c r="E11" s="84"/>
      <c r="F11" s="69"/>
      <c r="G11" s="37"/>
    </row>
    <row r="12" spans="1:8" ht="14.45" customHeight="1" x14ac:dyDescent="0.25">
      <c r="A12" s="99" t="s">
        <v>2</v>
      </c>
      <c r="B12" s="6" t="s">
        <v>47</v>
      </c>
      <c r="C12" s="6" t="s">
        <v>3</v>
      </c>
      <c r="D12" s="6" t="s">
        <v>169</v>
      </c>
      <c r="E12" s="6" t="s">
        <v>170</v>
      </c>
      <c r="F12" s="100" t="s">
        <v>171</v>
      </c>
    </row>
    <row r="13" spans="1:8" x14ac:dyDescent="0.25">
      <c r="A13" s="101" t="str">
        <f>'Info general'!B16</f>
        <v>Amenagement boutique</v>
      </c>
      <c r="B13" s="50">
        <f>'Info general'!C16</f>
        <v>1</v>
      </c>
      <c r="C13" s="85" t="s">
        <v>146</v>
      </c>
      <c r="D13" s="32">
        <f>'Info general'!E16</f>
        <v>6000</v>
      </c>
      <c r="E13" s="32">
        <f t="shared" ref="E13:E16" si="0">B13*D13</f>
        <v>6000</v>
      </c>
      <c r="F13" s="51" t="s">
        <v>172</v>
      </c>
      <c r="G13" s="2"/>
    </row>
    <row r="14" spans="1:8" x14ac:dyDescent="0.25">
      <c r="A14" s="101" t="str">
        <f>'Info general'!B17</f>
        <v>Equipment (balance, nattes, nettoyage…)</v>
      </c>
      <c r="B14" s="50">
        <f>'Info general'!C17</f>
        <v>1</v>
      </c>
      <c r="C14" s="85" t="s">
        <v>146</v>
      </c>
      <c r="D14" s="32">
        <f>'Info general'!E17</f>
        <v>2500</v>
      </c>
      <c r="E14" s="32">
        <f t="shared" si="0"/>
        <v>2500</v>
      </c>
      <c r="F14" s="51" t="s">
        <v>172</v>
      </c>
      <c r="G14" s="2"/>
    </row>
    <row r="15" spans="1:8" x14ac:dyDescent="0.25">
      <c r="A15" s="101" t="str">
        <f>'Info general'!B18</f>
        <v>Thermo 24l</v>
      </c>
      <c r="B15" s="50">
        <f>'Info general'!C18</f>
        <v>2</v>
      </c>
      <c r="C15" s="85" t="s">
        <v>146</v>
      </c>
      <c r="D15" s="32">
        <f>'Info general'!E18</f>
        <v>1000</v>
      </c>
      <c r="E15" s="32">
        <f t="shared" si="0"/>
        <v>2000</v>
      </c>
      <c r="F15" s="51" t="s">
        <v>172</v>
      </c>
      <c r="G15" s="2"/>
    </row>
    <row r="16" spans="1:8" ht="30" x14ac:dyDescent="0.25">
      <c r="A16" s="101" t="str">
        <f>'Info general'!B19</f>
        <v>Forfait démarrage (transport matériels, visites fournisseurs, etc.)</v>
      </c>
      <c r="B16" s="50">
        <f>'Info general'!C19</f>
        <v>1</v>
      </c>
      <c r="C16" s="85" t="s">
        <v>146</v>
      </c>
      <c r="D16" s="32">
        <f>'Info general'!E19</f>
        <v>2000</v>
      </c>
      <c r="E16" s="32">
        <f t="shared" si="0"/>
        <v>2000</v>
      </c>
      <c r="F16" s="51" t="s">
        <v>172</v>
      </c>
      <c r="G16" s="2"/>
    </row>
    <row r="17" spans="1:7" x14ac:dyDescent="0.25">
      <c r="A17" s="101"/>
      <c r="B17" s="50"/>
      <c r="C17" s="85"/>
      <c r="D17" s="32"/>
      <c r="E17" s="32"/>
      <c r="F17" s="51"/>
      <c r="G17" s="2"/>
    </row>
    <row r="18" spans="1:7" s="106" customFormat="1" ht="15.75" x14ac:dyDescent="0.25">
      <c r="A18" s="102" t="s">
        <v>173</v>
      </c>
      <c r="B18" s="103"/>
      <c r="C18" s="103"/>
      <c r="D18" s="103"/>
      <c r="E18" s="104">
        <f>SUM(E13:E17)</f>
        <v>12500</v>
      </c>
      <c r="F18" s="105" t="s">
        <v>68</v>
      </c>
    </row>
    <row r="19" spans="1:7" s="81" customFormat="1" x14ac:dyDescent="0.25">
      <c r="A19" s="80"/>
      <c r="B19" s="85"/>
      <c r="D19" s="82"/>
      <c r="E19" s="82"/>
      <c r="F19" s="107"/>
    </row>
    <row r="20" spans="1:7" ht="18.75" x14ac:dyDescent="0.25">
      <c r="A20" s="98" t="s">
        <v>174</v>
      </c>
      <c r="B20" s="84"/>
      <c r="C20" s="84"/>
      <c r="D20" s="84"/>
      <c r="E20" s="84"/>
      <c r="F20" s="69"/>
      <c r="G20" s="37"/>
    </row>
    <row r="21" spans="1:7" ht="14.45" customHeight="1" x14ac:dyDescent="0.25">
      <c r="A21" s="99" t="s">
        <v>31</v>
      </c>
      <c r="B21" s="6" t="s">
        <v>47</v>
      </c>
      <c r="C21" s="6" t="s">
        <v>3</v>
      </c>
      <c r="D21" s="6" t="s">
        <v>169</v>
      </c>
      <c r="E21" s="6" t="s">
        <v>170</v>
      </c>
      <c r="F21" s="100" t="s">
        <v>171</v>
      </c>
    </row>
    <row r="22" spans="1:7" x14ac:dyDescent="0.25">
      <c r="A22" s="108" t="s">
        <v>5</v>
      </c>
      <c r="B22" s="19"/>
      <c r="C22" s="19"/>
      <c r="D22" s="24"/>
      <c r="E22" s="109">
        <f>SUM(E23:E25)</f>
        <v>1800</v>
      </c>
      <c r="F22" s="110" t="s">
        <v>147</v>
      </c>
      <c r="G22" s="2"/>
    </row>
    <row r="23" spans="1:7" x14ac:dyDescent="0.25">
      <c r="A23" s="111" t="str">
        <f>'Plan economique (PAS)'!B11</f>
        <v>Location boutique</v>
      </c>
      <c r="B23" s="85">
        <f>'Plan economique (PAS)'!C11</f>
        <v>1</v>
      </c>
      <c r="C23" s="85" t="str">
        <f>'Plan economique (PAS)'!D11</f>
        <v>loyer</v>
      </c>
      <c r="D23" s="32">
        <f>'Plan economique (PAS)'!E11</f>
        <v>1000</v>
      </c>
      <c r="E23" s="32">
        <f>B23*D23</f>
        <v>1000</v>
      </c>
      <c r="F23" s="75" t="s">
        <v>147</v>
      </c>
    </row>
    <row r="24" spans="1:7" x14ac:dyDescent="0.25">
      <c r="A24" s="111" t="str">
        <f>'Plan economique (PAS)'!B12</f>
        <v>Loyer Charrette</v>
      </c>
      <c r="B24" s="85">
        <f>'Plan economique (PAS)'!C12</f>
        <v>4</v>
      </c>
      <c r="C24" s="85" t="str">
        <f>'Plan economique (PAS)'!D12</f>
        <v>trajet</v>
      </c>
      <c r="D24" s="32">
        <f>'Plan economique (PAS)'!E12</f>
        <v>200</v>
      </c>
      <c r="E24" s="32">
        <f>B24*D24</f>
        <v>800</v>
      </c>
      <c r="F24" s="75" t="s">
        <v>147</v>
      </c>
    </row>
    <row r="25" spans="1:7" x14ac:dyDescent="0.25">
      <c r="B25" s="85"/>
      <c r="C25" s="85"/>
      <c r="D25" s="32"/>
      <c r="E25" s="32"/>
      <c r="F25" s="51"/>
      <c r="G25" s="29"/>
    </row>
    <row r="26" spans="1:7" x14ac:dyDescent="0.25">
      <c r="A26" s="22" t="s">
        <v>175</v>
      </c>
      <c r="B26" s="19"/>
      <c r="C26" s="19"/>
      <c r="D26" s="24"/>
      <c r="E26" s="109">
        <f>SUM(E27:E30)</f>
        <v>3320</v>
      </c>
      <c r="F26" s="112" t="s">
        <v>176</v>
      </c>
    </row>
    <row r="27" spans="1:7" x14ac:dyDescent="0.25">
      <c r="A27" s="111" t="str">
        <f>'Plan economique (PAS)'!B17</f>
        <v>Poisson (y compris la glace)</v>
      </c>
      <c r="B27" s="85">
        <f>'Plan economique (PAS)'!C17</f>
        <v>48</v>
      </c>
      <c r="C27" s="85" t="str">
        <f>'Plan economique (PAS)'!D17</f>
        <v>kg</v>
      </c>
      <c r="D27" s="32">
        <f>'Plan economique (PAS)'!E17</f>
        <v>15</v>
      </c>
      <c r="E27" s="32">
        <f t="shared" ref="E27" si="1">B27*D27</f>
        <v>720</v>
      </c>
      <c r="F27" s="75" t="s">
        <v>176</v>
      </c>
    </row>
    <row r="28" spans="1:7" x14ac:dyDescent="0.25">
      <c r="A28" s="111" t="str">
        <f>'Plan economique (PAS)'!B18</f>
        <v>Légumes</v>
      </c>
      <c r="B28" s="85">
        <f>'Plan economique (PAS)'!C18</f>
        <v>48</v>
      </c>
      <c r="C28" s="85" t="str">
        <f>'Plan economique (PAS)'!D18</f>
        <v>kg</v>
      </c>
      <c r="D28" s="32">
        <f>'Plan economique (PAS)'!E18</f>
        <v>25</v>
      </c>
      <c r="E28" s="32">
        <f t="shared" ref="E28:E29" si="2">B28*D28</f>
        <v>1200</v>
      </c>
      <c r="F28" s="75" t="s">
        <v>176</v>
      </c>
    </row>
    <row r="29" spans="1:7" x14ac:dyDescent="0.25">
      <c r="A29" s="111" t="str">
        <f>'Plan economique (PAS)'!B19</f>
        <v>Transport poisson</v>
      </c>
      <c r="B29" s="85">
        <f>'Plan economique (PAS)'!C19</f>
        <v>1</v>
      </c>
      <c r="C29" s="85" t="str">
        <f>'Plan economique (PAS)'!D19</f>
        <v>transport</v>
      </c>
      <c r="D29" s="32">
        <f>'Plan economique (PAS)'!E19</f>
        <v>1400</v>
      </c>
      <c r="E29" s="32">
        <f t="shared" si="2"/>
        <v>1400</v>
      </c>
      <c r="F29" s="75" t="s">
        <v>176</v>
      </c>
    </row>
    <row r="31" spans="1:7" x14ac:dyDescent="0.25">
      <c r="A31" s="22" t="s">
        <v>188</v>
      </c>
      <c r="B31" s="19"/>
      <c r="C31" s="19"/>
      <c r="D31" s="24"/>
      <c r="E31" s="109">
        <f>SUM(E32:E43)</f>
        <v>54150</v>
      </c>
      <c r="F31" s="112" t="s">
        <v>177</v>
      </c>
    </row>
    <row r="32" spans="1:7" x14ac:dyDescent="0.25">
      <c r="A32" s="111" t="str">
        <f>'Plan economique (PAS)'!B23</f>
        <v>Denrées alimentaires - sucre</v>
      </c>
      <c r="B32" s="85">
        <f>'Plan economique (PAS)'!C23/2</f>
        <v>5</v>
      </c>
      <c r="C32" s="85" t="str">
        <f>'Plan economique (PAS)'!D23</f>
        <v>sac 50 kg</v>
      </c>
      <c r="D32" s="32">
        <f>'Plan economique (PAS)'!E23</f>
        <v>1000</v>
      </c>
      <c r="E32" s="32">
        <f>B32*D32</f>
        <v>5000</v>
      </c>
      <c r="F32" s="75" t="s">
        <v>149</v>
      </c>
    </row>
    <row r="33" spans="1:6" x14ac:dyDescent="0.25">
      <c r="A33" s="111" t="str">
        <f>'Plan economique (PAS)'!B24</f>
        <v>Denrées alimentaires - huile</v>
      </c>
      <c r="B33" s="85">
        <f>'Plan economique (PAS)'!C24/2+3</f>
        <v>8</v>
      </c>
      <c r="C33" s="85" t="str">
        <f>'Plan economique (PAS)'!D24</f>
        <v>20 litres</v>
      </c>
      <c r="D33" s="32">
        <f>'Plan economique (PAS)'!E24</f>
        <v>800</v>
      </c>
      <c r="E33" s="32">
        <f t="shared" ref="E33:E42" si="3">B33*D33</f>
        <v>6400</v>
      </c>
      <c r="F33" s="75" t="s">
        <v>192</v>
      </c>
    </row>
    <row r="34" spans="1:6" x14ac:dyDescent="0.25">
      <c r="A34" s="111" t="str">
        <f>'Plan economique (PAS)'!B25</f>
        <v>Denrées alimentaires - pate</v>
      </c>
      <c r="B34" s="85">
        <f>'Plan economique (PAS)'!C25/2</f>
        <v>5</v>
      </c>
      <c r="C34" s="85" t="str">
        <f>'Plan economique (PAS)'!D25</f>
        <v>10 kg</v>
      </c>
      <c r="D34" s="32">
        <f>'Plan economique (PAS)'!E25</f>
        <v>280</v>
      </c>
      <c r="E34" s="32">
        <f t="shared" si="3"/>
        <v>1400</v>
      </c>
      <c r="F34" s="75" t="s">
        <v>149</v>
      </c>
    </row>
    <row r="35" spans="1:6" x14ac:dyDescent="0.25">
      <c r="A35" s="111" t="str">
        <f>'Plan economique (PAS)'!B26</f>
        <v>Denrées alimentaires - riz</v>
      </c>
      <c r="B35" s="85">
        <f>'Plan economique (PAS)'!C26/2</f>
        <v>5</v>
      </c>
      <c r="C35" s="85" t="str">
        <f>'Plan economique (PAS)'!D26</f>
        <v>sac 50 kg</v>
      </c>
      <c r="D35" s="32">
        <f>'Plan economique (PAS)'!E26</f>
        <v>1350</v>
      </c>
      <c r="E35" s="32">
        <f t="shared" si="3"/>
        <v>6750</v>
      </c>
      <c r="F35" s="75" t="s">
        <v>149</v>
      </c>
    </row>
    <row r="36" spans="1:6" x14ac:dyDescent="0.25">
      <c r="A36" s="111" t="str">
        <f>'Plan economique (PAS)'!B27</f>
        <v>Denrées alimentaires - biscuits</v>
      </c>
      <c r="B36" s="85">
        <f>'Plan economique (PAS)'!C27/2</f>
        <v>5</v>
      </c>
      <c r="C36" s="85" t="str">
        <f>'Plan economique (PAS)'!D27</f>
        <v>sac 50 ud</v>
      </c>
      <c r="D36" s="32">
        <f>'Plan economique (PAS)'!E27</f>
        <v>220</v>
      </c>
      <c r="E36" s="32">
        <f t="shared" si="3"/>
        <v>1100</v>
      </c>
      <c r="F36" s="75" t="s">
        <v>149</v>
      </c>
    </row>
    <row r="37" spans="1:6" x14ac:dyDescent="0.25">
      <c r="A37" s="111" t="str">
        <f>'Plan economique (PAS)'!B28</f>
        <v>Denrées alimentaires - blé</v>
      </c>
      <c r="B37" s="85">
        <v>25</v>
      </c>
      <c r="C37" s="85" t="str">
        <f>'Plan economique (PAS)'!D28</f>
        <v>sac 50 kg</v>
      </c>
      <c r="D37" s="32">
        <f>'Plan economique (PAS)'!E28</f>
        <v>700</v>
      </c>
      <c r="E37" s="32">
        <f t="shared" si="3"/>
        <v>17500</v>
      </c>
      <c r="F37" s="75" t="s">
        <v>191</v>
      </c>
    </row>
    <row r="38" spans="1:6" x14ac:dyDescent="0.25">
      <c r="A38" s="111" t="str">
        <f>'Plan economique (PAS)'!B29</f>
        <v>Denrées alimentaires - thé</v>
      </c>
      <c r="B38" s="85">
        <f>'Plan economique (PAS)'!C29</f>
        <v>4</v>
      </c>
      <c r="C38" s="85" t="str">
        <f>'Plan economique (PAS)'!D29</f>
        <v>boite de 5 kg</v>
      </c>
      <c r="D38" s="32">
        <f>'Plan economique (PAS)'!E29</f>
        <v>1500</v>
      </c>
      <c r="E38" s="32">
        <f t="shared" si="3"/>
        <v>6000</v>
      </c>
      <c r="F38" s="75" t="s">
        <v>176</v>
      </c>
    </row>
    <row r="39" spans="1:6" x14ac:dyDescent="0.25">
      <c r="A39" s="111" t="str">
        <f>'Plan economique (PAS)'!B30</f>
        <v>Denrées alimentaires - Gloria</v>
      </c>
      <c r="B39" s="85">
        <f>'Plan economique (PAS)'!C30</f>
        <v>3</v>
      </c>
      <c r="C39" s="85" t="str">
        <f>'Plan economique (PAS)'!D30</f>
        <v>carton 96 ud</v>
      </c>
      <c r="D39" s="32">
        <f>'Plan economique (PAS)'!E30</f>
        <v>1000</v>
      </c>
      <c r="E39" s="32">
        <f t="shared" si="3"/>
        <v>3000</v>
      </c>
      <c r="F39" s="75" t="s">
        <v>176</v>
      </c>
    </row>
    <row r="40" spans="1:6" x14ac:dyDescent="0.25">
      <c r="A40" s="111" t="str">
        <f>'Plan economique (PAS)'!B31</f>
        <v>Denrées alimentaires - savon</v>
      </c>
      <c r="B40" s="85">
        <f>'Plan economique (PAS)'!C31</f>
        <v>5</v>
      </c>
      <c r="C40" s="85" t="str">
        <f>'Plan economique (PAS)'!D31</f>
        <v>carton 45 ud</v>
      </c>
      <c r="D40" s="32">
        <f>'Plan economique (PAS)'!E31</f>
        <v>300</v>
      </c>
      <c r="E40" s="32">
        <f t="shared" si="3"/>
        <v>1500</v>
      </c>
      <c r="F40" s="75" t="s">
        <v>176</v>
      </c>
    </row>
    <row r="41" spans="1:6" x14ac:dyDescent="0.25">
      <c r="A41" s="111" t="str">
        <f>'Plan economique (PAS)'!B32</f>
        <v>Denrées alimentaires - omo</v>
      </c>
      <c r="B41" s="85">
        <f>'Plan economique (PAS)'!C32</f>
        <v>5</v>
      </c>
      <c r="C41" s="85" t="str">
        <f>'Plan economique (PAS)'!D32</f>
        <v>carton 150 ud</v>
      </c>
      <c r="D41" s="32">
        <f>'Plan economique (PAS)'!E32</f>
        <v>300</v>
      </c>
      <c r="E41" s="32">
        <f t="shared" si="3"/>
        <v>1500</v>
      </c>
      <c r="F41" s="75" t="s">
        <v>176</v>
      </c>
    </row>
    <row r="42" spans="1:6" x14ac:dyDescent="0.25">
      <c r="A42" s="111" t="str">
        <f>'Plan economique (PAS)'!B33</f>
        <v>Crédit téléphone</v>
      </c>
      <c r="B42" s="85">
        <f>'Plan economique (PAS)'!C33</f>
        <v>1</v>
      </c>
      <c r="C42" s="85" t="str">
        <f>'Plan economique (PAS)'!D33</f>
        <v>forfait</v>
      </c>
      <c r="D42" s="32">
        <f>'Plan economique (PAS)'!E33</f>
        <v>4000</v>
      </c>
      <c r="E42" s="32">
        <f t="shared" si="3"/>
        <v>4000</v>
      </c>
      <c r="F42" s="75" t="s">
        <v>176</v>
      </c>
    </row>
    <row r="43" spans="1:6" x14ac:dyDescent="0.25">
      <c r="B43" s="85"/>
      <c r="C43" s="85"/>
      <c r="D43" s="32"/>
      <c r="E43" s="32"/>
      <c r="F43" s="75"/>
    </row>
    <row r="44" spans="1:6" x14ac:dyDescent="0.25">
      <c r="A44" s="22" t="s">
        <v>179</v>
      </c>
      <c r="B44" s="19"/>
      <c r="C44" s="19"/>
      <c r="D44" s="24"/>
      <c r="E44" s="109">
        <f>SUM(E45:E52)</f>
        <v>11712</v>
      </c>
      <c r="F44" s="112" t="s">
        <v>178</v>
      </c>
    </row>
    <row r="45" spans="1:6" x14ac:dyDescent="0.25">
      <c r="A45" s="111" t="str">
        <f>'Plan economique (PAS)'!B35</f>
        <v>Vêtements - Voiles (dif. categories)</v>
      </c>
      <c r="B45" s="85">
        <f>'Plan economique (PAS)'!C35</f>
        <v>30</v>
      </c>
      <c r="C45" s="85" t="str">
        <f>'Plan economique (PAS)'!D35</f>
        <v>unités</v>
      </c>
      <c r="D45" s="32">
        <f>'Plan economique (PAS)'!E35</f>
        <v>170</v>
      </c>
      <c r="E45" s="32">
        <f t="shared" ref="E45" si="4">B45*D45</f>
        <v>5100</v>
      </c>
      <c r="F45" s="75" t="s">
        <v>176</v>
      </c>
    </row>
    <row r="46" spans="1:6" x14ac:dyDescent="0.25">
      <c r="A46" s="111" t="str">
        <f>'Plan economique (PAS)'!B36</f>
        <v>Vêtements - Robes</v>
      </c>
      <c r="B46" s="85">
        <f>'Plan economique (PAS)'!C36</f>
        <v>24</v>
      </c>
      <c r="C46" s="85" t="str">
        <f>'Plan economique (PAS)'!D36</f>
        <v>unités</v>
      </c>
      <c r="D46" s="32">
        <f>'Plan economique (PAS)'!E36</f>
        <v>18</v>
      </c>
      <c r="E46" s="32">
        <f t="shared" ref="E46" si="5">B46*D46</f>
        <v>432</v>
      </c>
      <c r="F46" s="75" t="s">
        <v>176</v>
      </c>
    </row>
    <row r="47" spans="1:6" x14ac:dyDescent="0.25">
      <c r="A47" s="111" t="str">
        <f>'Plan economique (PAS)'!B37</f>
        <v>Vêtements - Chaussures</v>
      </c>
      <c r="B47" s="85">
        <f>'Plan economique (PAS)'!C37</f>
        <v>24</v>
      </c>
      <c r="C47" s="85" t="str">
        <f>'Plan economique (PAS)'!D37</f>
        <v>unités</v>
      </c>
      <c r="D47" s="32">
        <f>'Plan economique (PAS)'!E37</f>
        <v>45</v>
      </c>
      <c r="E47" s="32">
        <f t="shared" ref="E47:E51" si="6">B47*D47</f>
        <v>1080</v>
      </c>
      <c r="F47" s="75" t="s">
        <v>176</v>
      </c>
    </row>
    <row r="48" spans="1:6" x14ac:dyDescent="0.25">
      <c r="A48" s="111" t="str">
        <f>'Plan economique (PAS)'!B38</f>
        <v>Vêtements - Produits de beauté vaseline</v>
      </c>
      <c r="B48" s="85">
        <f>'Plan economique (PAS)'!C38</f>
        <v>12</v>
      </c>
      <c r="C48" s="85" t="str">
        <f>'Plan economique (PAS)'!D38</f>
        <v>unités</v>
      </c>
      <c r="D48" s="32">
        <f>'Plan economique (PAS)'!E38</f>
        <v>5</v>
      </c>
      <c r="E48" s="32">
        <f t="shared" si="6"/>
        <v>60</v>
      </c>
      <c r="F48" s="75" t="s">
        <v>176</v>
      </c>
    </row>
    <row r="49" spans="1:9" x14ac:dyDescent="0.25">
      <c r="A49" s="111" t="str">
        <f>'Plan economique (PAS)'!B39</f>
        <v>Vêtements - Vêtements bebé</v>
      </c>
      <c r="B49" s="85">
        <f>'Plan economique (PAS)'!C39</f>
        <v>24</v>
      </c>
      <c r="C49" s="85" t="str">
        <f>'Plan economique (PAS)'!D39</f>
        <v>unités</v>
      </c>
      <c r="D49" s="32">
        <f>'Plan economique (PAS)'!E39</f>
        <v>35</v>
      </c>
      <c r="E49" s="32">
        <f t="shared" si="6"/>
        <v>840</v>
      </c>
      <c r="F49" s="75" t="s">
        <v>176</v>
      </c>
    </row>
    <row r="50" spans="1:9" x14ac:dyDescent="0.25">
      <c r="A50" s="111" t="str">
        <f>'Plan economique (PAS)'!B40</f>
        <v>Vêtements - Tissues</v>
      </c>
      <c r="B50" s="85">
        <f>'Plan economique (PAS)'!C40</f>
        <v>10</v>
      </c>
      <c r="C50" s="85" t="str">
        <f>'Plan economique (PAS)'!D40</f>
        <v>unités</v>
      </c>
      <c r="D50" s="32">
        <f>'Plan economique (PAS)'!E40</f>
        <v>400</v>
      </c>
      <c r="E50" s="32">
        <f t="shared" si="6"/>
        <v>4000</v>
      </c>
      <c r="F50" s="75" t="s">
        <v>176</v>
      </c>
    </row>
    <row r="51" spans="1:9" x14ac:dyDescent="0.25">
      <c r="A51" s="111" t="str">
        <f>'Plan economique (PAS)'!B41</f>
        <v>Transport Vêtements</v>
      </c>
      <c r="B51" s="85">
        <f>'Plan economique (PAS)'!C41</f>
        <v>1</v>
      </c>
      <c r="C51" s="85" t="str">
        <f>'Plan economique (PAS)'!D41</f>
        <v>Transport</v>
      </c>
      <c r="D51" s="32">
        <f>'Plan economique (PAS)'!E41</f>
        <v>200</v>
      </c>
      <c r="E51" s="32">
        <f t="shared" si="6"/>
        <v>200</v>
      </c>
      <c r="F51" s="75" t="s">
        <v>176</v>
      </c>
    </row>
    <row r="52" spans="1:9" x14ac:dyDescent="0.25">
      <c r="B52" s="85"/>
      <c r="C52" s="85"/>
      <c r="D52" s="32"/>
      <c r="E52" s="32"/>
      <c r="F52" s="75"/>
    </row>
    <row r="53" spans="1:9" x14ac:dyDescent="0.25">
      <c r="A53" s="22" t="s">
        <v>180</v>
      </c>
      <c r="B53" s="19"/>
      <c r="C53" s="19"/>
      <c r="D53" s="24"/>
      <c r="E53" s="109">
        <f>E54</f>
        <v>1518</v>
      </c>
      <c r="F53" s="112"/>
    </row>
    <row r="54" spans="1:9" s="11" customFormat="1" x14ac:dyDescent="0.25">
      <c r="A54" s="111" t="s">
        <v>181</v>
      </c>
      <c r="B54" s="85">
        <v>1</v>
      </c>
      <c r="C54" s="85" t="s">
        <v>145</v>
      </c>
      <c r="D54" s="32">
        <f>1500+18</f>
        <v>1518</v>
      </c>
      <c r="E54" s="32">
        <f t="shared" ref="E54" si="7">B54*D54</f>
        <v>1518</v>
      </c>
      <c r="F54" s="75"/>
    </row>
    <row r="55" spans="1:9" x14ac:dyDescent="0.25">
      <c r="B55" s="85"/>
      <c r="C55" s="85"/>
      <c r="D55" s="32"/>
      <c r="E55" s="32"/>
      <c r="F55" s="51"/>
    </row>
    <row r="56" spans="1:9" s="106" customFormat="1" ht="15.75" x14ac:dyDescent="0.25">
      <c r="A56" s="102" t="s">
        <v>182</v>
      </c>
      <c r="B56" s="103"/>
      <c r="C56" s="103"/>
      <c r="D56" s="103"/>
      <c r="E56" s="104">
        <f>E44+E26+E22+E53+E31</f>
        <v>72500</v>
      </c>
      <c r="F56" s="105"/>
    </row>
    <row r="57" spans="1:9" x14ac:dyDescent="0.25">
      <c r="A57" s="113"/>
      <c r="B57" s="3"/>
      <c r="C57" s="3"/>
      <c r="D57" s="3"/>
      <c r="G57" s="44"/>
      <c r="I57" s="45"/>
    </row>
    <row r="58" spans="1:9" ht="18.75" x14ac:dyDescent="0.25">
      <c r="A58" s="91" t="s">
        <v>69</v>
      </c>
      <c r="B58" s="91"/>
      <c r="C58" s="91"/>
      <c r="D58" s="91"/>
      <c r="E58" s="91"/>
      <c r="F58" s="91" t="s">
        <v>171</v>
      </c>
      <c r="G58" s="2"/>
      <c r="I58" s="45"/>
    </row>
    <row r="59" spans="1:9" x14ac:dyDescent="0.25">
      <c r="A59" s="114" t="str">
        <f>A18</f>
        <v>Total Investissement AGR couvert</v>
      </c>
      <c r="B59" s="114"/>
      <c r="C59" s="114"/>
      <c r="D59" s="114"/>
      <c r="E59" s="114">
        <f>E18</f>
        <v>12500</v>
      </c>
      <c r="F59" s="115" t="s">
        <v>172</v>
      </c>
      <c r="G59" s="44"/>
    </row>
    <row r="60" spans="1:9" x14ac:dyDescent="0.25">
      <c r="A60" s="114" t="str">
        <f>A22</f>
        <v>Coûts fixes</v>
      </c>
      <c r="B60" s="114"/>
      <c r="C60" s="114"/>
      <c r="D60" s="114"/>
      <c r="E60" s="116">
        <f>E22</f>
        <v>1800</v>
      </c>
      <c r="F60" s="115" t="s">
        <v>147</v>
      </c>
    </row>
    <row r="61" spans="1:9" s="111" customFormat="1" x14ac:dyDescent="0.25">
      <c r="A61" s="114" t="str">
        <f>A26</f>
        <v>Coûts variables. Vente de poisson et légumes, cycle hebdomadaire</v>
      </c>
      <c r="B61" s="114"/>
      <c r="C61" s="114"/>
      <c r="D61" s="114"/>
      <c r="E61" s="116">
        <f>E26</f>
        <v>3320</v>
      </c>
      <c r="F61" s="115" t="s">
        <v>176</v>
      </c>
    </row>
    <row r="62" spans="1:9" s="111" customFormat="1" x14ac:dyDescent="0.25">
      <c r="A62" s="114" t="str">
        <f>A31</f>
        <v>Coûts variables. Vente de denrées alimentaires, produits d’hygiène et credit telephonique, cycle mensuel</v>
      </c>
      <c r="B62" s="114"/>
      <c r="C62" s="114"/>
      <c r="D62" s="114"/>
      <c r="E62" s="116">
        <f>E31</f>
        <v>54150</v>
      </c>
      <c r="F62" s="115" t="s">
        <v>149</v>
      </c>
    </row>
    <row r="63" spans="1:9" s="111" customFormat="1" x14ac:dyDescent="0.25">
      <c r="A63" s="114" t="str">
        <f>A44</f>
        <v>Coûts variables. Vente d'habilles, cycle mensuel</v>
      </c>
      <c r="B63" s="114"/>
      <c r="C63" s="114"/>
      <c r="D63" s="114"/>
      <c r="E63" s="116">
        <f>E44</f>
        <v>11712</v>
      </c>
      <c r="F63" s="115" t="s">
        <v>176</v>
      </c>
    </row>
    <row r="64" spans="1:9" s="111" customFormat="1" x14ac:dyDescent="0.25">
      <c r="A64" s="114" t="str">
        <f>A53</f>
        <v>Autres</v>
      </c>
      <c r="B64" s="114"/>
      <c r="C64" s="114"/>
      <c r="D64" s="114"/>
      <c r="E64" s="116">
        <f t="shared" ref="E64" si="8">E53</f>
        <v>1518</v>
      </c>
      <c r="F64" s="115" t="s">
        <v>176</v>
      </c>
    </row>
    <row r="65" spans="1:6" s="111" customFormat="1" x14ac:dyDescent="0.25">
      <c r="A65" s="114"/>
      <c r="B65" s="114"/>
      <c r="C65" s="114"/>
      <c r="D65" s="114"/>
      <c r="E65" s="116"/>
      <c r="F65" s="117"/>
    </row>
    <row r="66" spans="1:6" s="106" customFormat="1" ht="15.75" x14ac:dyDescent="0.25">
      <c r="A66" s="102" t="s">
        <v>183</v>
      </c>
      <c r="B66" s="103"/>
      <c r="C66" s="103"/>
      <c r="D66" s="103"/>
      <c r="E66" s="104">
        <f>SUM(E59:E65)</f>
        <v>85000</v>
      </c>
      <c r="F66" s="105"/>
    </row>
    <row r="67" spans="1:6" x14ac:dyDescent="0.25">
      <c r="E67" s="43"/>
      <c r="F67" s="118"/>
    </row>
    <row r="69" spans="1:6" x14ac:dyDescent="0.25">
      <c r="A69" s="45"/>
      <c r="B69" s="45"/>
    </row>
    <row r="71" spans="1:6" x14ac:dyDescent="0.25">
      <c r="A71" s="45"/>
    </row>
    <row r="80" spans="1:6" x14ac:dyDescent="0.25">
      <c r="A80" s="101"/>
    </row>
    <row r="81" spans="1:1" x14ac:dyDescent="0.25">
      <c r="A81" s="101"/>
    </row>
    <row r="82" spans="1:1" x14ac:dyDescent="0.25">
      <c r="A82" s="101"/>
    </row>
    <row r="83" spans="1:1" x14ac:dyDescent="0.25">
      <c r="A83" s="101"/>
    </row>
    <row r="84" spans="1:1" x14ac:dyDescent="0.25">
      <c r="A84" s="101"/>
    </row>
    <row r="85" spans="1:1" x14ac:dyDescent="0.25">
      <c r="A85" s="101"/>
    </row>
  </sheetData>
  <mergeCells count="2">
    <mergeCell ref="B7:F7"/>
    <mergeCell ref="B8:F8"/>
  </mergeCells>
  <pageMargins left="0.70866141732283472" right="0.70866141732283472" top="0.74803149606299213" bottom="0.74803149606299213" header="0.31496062992125984" footer="0.31496062992125984"/>
  <pageSetup paperSize="9" scale="61" fitToHeight="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Info general</vt:lpstr>
      <vt:lpstr>Plan economique (PAS)</vt:lpstr>
      <vt:lpstr>Apport CRM</vt:lpstr>
      <vt:lpstr>'Apport CRM'!Área_de_impresión</vt:lpstr>
      <vt:lpstr>'Info general'!Área_de_impresión</vt:lpstr>
      <vt:lpstr>'Plan economique (PAS)'!Área_de_impresión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Eva Pilar</dc:creator>
  <cp:lastModifiedBy>Gema Arranz</cp:lastModifiedBy>
  <cp:lastPrinted>2021-01-26T18:06:18Z</cp:lastPrinted>
  <dcterms:created xsi:type="dcterms:W3CDTF">2020-07-27T11:11:56Z</dcterms:created>
  <dcterms:modified xsi:type="dcterms:W3CDTF">2021-07-07T12:24:15Z</dcterms:modified>
</cp:coreProperties>
</file>